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180" yWindow="570" windowWidth="5310" windowHeight="6375" tabRatio="732" activeTab="3"/>
  </bookViews>
  <sheets>
    <sheet name="old無Call-310無部份轉換" sheetId="6" r:id="rId1"/>
    <sheet name="new無Call-310部分轉換" sheetId="5" r:id="rId2"/>
    <sheet name="old有Call-317部分轉換" sheetId="7" r:id="rId3"/>
    <sheet name="new有Call-317無部份轉換" sheetId="3" r:id="rId4"/>
    <sheet name="Sheet1" sheetId="4" r:id="rId5"/>
  </sheets>
  <calcPr calcId="145621"/>
</workbook>
</file>

<file path=xl/calcChain.xml><?xml version="1.0" encoding="utf-8"?>
<calcChain xmlns="http://schemas.openxmlformats.org/spreadsheetml/2006/main">
  <c r="AG11" i="6" l="1"/>
  <c r="AG11" i="5"/>
  <c r="AW11" i="5" s="1"/>
  <c r="BB16" i="5"/>
  <c r="BB15" i="5"/>
  <c r="BB14" i="5"/>
  <c r="BB13" i="5"/>
  <c r="BB12" i="5"/>
  <c r="BB11" i="5"/>
  <c r="BA15" i="5"/>
  <c r="BA14" i="5"/>
  <c r="BA13" i="5"/>
  <c r="BA12" i="5"/>
  <c r="BA11" i="5"/>
  <c r="AZ14" i="5"/>
  <c r="AZ13" i="5"/>
  <c r="AZ12" i="5"/>
  <c r="AZ11" i="5"/>
  <c r="AY13" i="5"/>
  <c r="AY11" i="5"/>
  <c r="AY12" i="5"/>
  <c r="AX12" i="5"/>
  <c r="AX11" i="5"/>
  <c r="AD16" i="5"/>
  <c r="AD15" i="5"/>
  <c r="AD14" i="5"/>
  <c r="AD13" i="5"/>
  <c r="AD12" i="5"/>
  <c r="AD11" i="5"/>
  <c r="AC15" i="5"/>
  <c r="AC14" i="5"/>
  <c r="AC13" i="5"/>
  <c r="AC12" i="5"/>
  <c r="AC11" i="5"/>
  <c r="AB14" i="5"/>
  <c r="AB13" i="5"/>
  <c r="AB12" i="5"/>
  <c r="AB11" i="5"/>
  <c r="AA13" i="5"/>
  <c r="AA12" i="5"/>
  <c r="AA11" i="5"/>
  <c r="Z12" i="5"/>
  <c r="Z11" i="5"/>
  <c r="Y11" i="5"/>
  <c r="Q2" i="5" l="1"/>
  <c r="Q2" i="6"/>
  <c r="AS11" i="6"/>
  <c r="AR11" i="6"/>
  <c r="AQ11" i="6"/>
  <c r="AP11" i="6"/>
  <c r="AO11" i="6"/>
  <c r="AN11" i="6"/>
  <c r="U11" i="6"/>
  <c r="T11" i="6"/>
  <c r="S11" i="6"/>
  <c r="R11" i="6"/>
  <c r="Q11" i="6"/>
  <c r="P11" i="6"/>
  <c r="U11" i="5"/>
  <c r="T11" i="5"/>
  <c r="S11" i="5"/>
  <c r="R11" i="5"/>
  <c r="Q11" i="5"/>
  <c r="P11" i="5"/>
  <c r="AS11" i="5"/>
  <c r="AR11" i="5"/>
  <c r="AQ11" i="5"/>
  <c r="AP11" i="5"/>
  <c r="AO11" i="5"/>
  <c r="AN11" i="5"/>
  <c r="AO5" i="7"/>
  <c r="AO4" i="7"/>
  <c r="AO3" i="7"/>
  <c r="AN5" i="7"/>
  <c r="AN4" i="7"/>
  <c r="AN3" i="7"/>
  <c r="AM5" i="7"/>
  <c r="AM4" i="7"/>
  <c r="AM3" i="7"/>
  <c r="AL5" i="7"/>
  <c r="AL4" i="7"/>
  <c r="AL3" i="7"/>
  <c r="AK5" i="7"/>
  <c r="AK4" i="7"/>
  <c r="AK3" i="7"/>
  <c r="AJ5" i="7"/>
  <c r="AJ4" i="7"/>
  <c r="AJ3" i="7"/>
  <c r="U13" i="7"/>
  <c r="U12" i="7"/>
  <c r="U11" i="7"/>
  <c r="T13" i="7"/>
  <c r="T12" i="7"/>
  <c r="T11" i="7"/>
  <c r="S13" i="7"/>
  <c r="S12" i="7"/>
  <c r="S11" i="7"/>
  <c r="R13" i="7"/>
  <c r="R12" i="7"/>
  <c r="R11" i="7"/>
  <c r="Q13" i="7"/>
  <c r="Q12" i="7"/>
  <c r="Q11" i="7"/>
  <c r="P13" i="7"/>
  <c r="P12" i="7"/>
  <c r="P11" i="7"/>
  <c r="U19" i="3"/>
  <c r="U18" i="3"/>
  <c r="U17" i="3"/>
  <c r="T19" i="3"/>
  <c r="T18" i="3"/>
  <c r="T17" i="3"/>
  <c r="S19" i="3"/>
  <c r="S18" i="3"/>
  <c r="S17" i="3"/>
  <c r="R19" i="3"/>
  <c r="R18" i="3"/>
  <c r="R17" i="3"/>
  <c r="Q19" i="3"/>
  <c r="AI19" i="3" s="1"/>
  <c r="Q18" i="3"/>
  <c r="Q17" i="3"/>
  <c r="P19" i="3"/>
  <c r="AH19" i="3" s="1"/>
  <c r="P18" i="3"/>
  <c r="P17" i="3"/>
  <c r="U10" i="3"/>
  <c r="U9" i="3"/>
  <c r="U8" i="3"/>
  <c r="T10" i="3"/>
  <c r="T9" i="3"/>
  <c r="T8" i="3"/>
  <c r="S10" i="3"/>
  <c r="S9" i="3"/>
  <c r="S8" i="3"/>
  <c r="AK8" i="3" s="1"/>
  <c r="R10" i="3"/>
  <c r="R9" i="3"/>
  <c r="R8" i="3"/>
  <c r="Q10" i="3"/>
  <c r="Q9" i="3"/>
  <c r="Q8" i="3"/>
  <c r="P10" i="3"/>
  <c r="P9" i="3"/>
  <c r="P8" i="3"/>
  <c r="AH8" i="3" s="1"/>
  <c r="Q2" i="7"/>
  <c r="Q2" i="3"/>
  <c r="AM8" i="3" l="1"/>
  <c r="AL8" i="3"/>
  <c r="AJ8" i="3"/>
  <c r="AI8" i="3"/>
  <c r="K2" i="6"/>
  <c r="J2" i="6"/>
  <c r="F55" i="7" l="1"/>
  <c r="E55" i="7"/>
  <c r="D55" i="7"/>
  <c r="C55" i="7"/>
  <c r="Q39" i="7"/>
  <c r="S22" i="7"/>
  <c r="AD22" i="7" s="1"/>
  <c r="U21" i="7"/>
  <c r="AF21" i="7" s="1"/>
  <c r="P20" i="7"/>
  <c r="C18" i="7"/>
  <c r="E20" i="7" s="1"/>
  <c r="W38" i="7" s="1"/>
  <c r="N17" i="7"/>
  <c r="M17" i="7"/>
  <c r="L17" i="7"/>
  <c r="K17" i="7"/>
  <c r="J17" i="7"/>
  <c r="I17" i="7"/>
  <c r="D11" i="7"/>
  <c r="C11" i="7"/>
  <c r="D10" i="7"/>
  <c r="C10" i="7"/>
  <c r="AH9" i="7"/>
  <c r="AG9" i="7"/>
  <c r="AF9" i="7"/>
  <c r="AE9" i="7"/>
  <c r="AD9" i="7"/>
  <c r="AC9" i="7"/>
  <c r="D9" i="7"/>
  <c r="C9" i="7"/>
  <c r="D8" i="7"/>
  <c r="C8" i="7"/>
  <c r="D7" i="7"/>
  <c r="C7" i="7"/>
  <c r="D6" i="7"/>
  <c r="C6" i="7"/>
  <c r="D5" i="7"/>
  <c r="C5" i="7"/>
  <c r="P2" i="7"/>
  <c r="J2" i="7"/>
  <c r="I2" i="7"/>
  <c r="H2" i="7"/>
  <c r="C14" i="7" s="1"/>
  <c r="E12" i="7" s="1"/>
  <c r="AI37" i="7" l="1"/>
  <c r="Z43" i="7"/>
  <c r="AO21" i="7"/>
  <c r="AF1" i="7"/>
  <c r="W20" i="7"/>
  <c r="I20" i="7" s="1"/>
  <c r="AA20" i="7"/>
  <c r="AC38" i="7"/>
  <c r="AA37" i="7"/>
  <c r="AI22" i="7"/>
  <c r="K2" i="7"/>
  <c r="AH1" i="7" s="1"/>
  <c r="R22" i="7"/>
  <c r="T21" i="7"/>
  <c r="P21" i="7"/>
  <c r="S20" i="7"/>
  <c r="U22" i="7"/>
  <c r="Q22" i="7"/>
  <c r="S21" i="7"/>
  <c r="R20" i="7"/>
  <c r="P22" i="7"/>
  <c r="R21" i="7"/>
  <c r="U20" i="7"/>
  <c r="Q21" i="7"/>
  <c r="T20" i="7"/>
  <c r="T22" i="7"/>
  <c r="Q20" i="7"/>
  <c r="Y23" i="7"/>
  <c r="M37" i="7"/>
  <c r="AG1" i="7"/>
  <c r="AD1" i="7"/>
  <c r="M40" i="7"/>
  <c r="T39" i="7"/>
  <c r="K39" i="7"/>
  <c r="V38" i="7"/>
  <c r="R38" i="7"/>
  <c r="M38" i="7"/>
  <c r="U37" i="7"/>
  <c r="Q37" i="7"/>
  <c r="L37" i="7"/>
  <c r="L40" i="7"/>
  <c r="W39" i="7"/>
  <c r="S39" i="7"/>
  <c r="U38" i="7"/>
  <c r="Q38" i="7"/>
  <c r="L38" i="7"/>
  <c r="T37" i="7"/>
  <c r="K37" i="7"/>
  <c r="V39" i="7"/>
  <c r="M39" i="7"/>
  <c r="T38" i="7"/>
  <c r="K38" i="7"/>
  <c r="S37" i="7"/>
  <c r="J37" i="7"/>
  <c r="U39" i="7"/>
  <c r="L39" i="7"/>
  <c r="S38" i="7"/>
  <c r="J38" i="7"/>
  <c r="R37" i="7"/>
  <c r="I37" i="7"/>
  <c r="M41" i="7"/>
  <c r="R39" i="7"/>
  <c r="W37" i="7"/>
  <c r="X25" i="7"/>
  <c r="V37" i="7"/>
  <c r="E16" i="7"/>
  <c r="Y39" i="7" l="1"/>
  <c r="AE36" i="7"/>
  <c r="AK20" i="7"/>
  <c r="AA42" i="7"/>
  <c r="AH38" i="7"/>
  <c r="AN22" i="7"/>
  <c r="AB20" i="7"/>
  <c r="W21" i="7"/>
  <c r="W23" i="7"/>
  <c r="AD20" i="7"/>
  <c r="AE38" i="7"/>
  <c r="AK22" i="7"/>
  <c r="AA39" i="7"/>
  <c r="AJ21" i="7"/>
  <c r="Z38" i="7"/>
  <c r="AD37" i="7"/>
  <c r="W24" i="7"/>
  <c r="AE20" i="7"/>
  <c r="AA22" i="7"/>
  <c r="Y20" i="7"/>
  <c r="R31" i="7"/>
  <c r="U30" i="7"/>
  <c r="Q30" i="7"/>
  <c r="U29" i="7"/>
  <c r="Q29" i="7"/>
  <c r="U31" i="7"/>
  <c r="Q31" i="7"/>
  <c r="T30" i="7"/>
  <c r="P30" i="7"/>
  <c r="T29" i="7"/>
  <c r="P29" i="7"/>
  <c r="P31" i="7"/>
  <c r="S30" i="7"/>
  <c r="R30" i="7"/>
  <c r="T31" i="7"/>
  <c r="S29" i="7"/>
  <c r="S31" i="7"/>
  <c r="R29" i="7"/>
  <c r="AE37" i="7"/>
  <c r="AK21" i="7"/>
  <c r="Z39" i="7"/>
  <c r="Z40" i="7"/>
  <c r="AL21" i="7"/>
  <c r="AF37" i="7"/>
  <c r="Z37" i="7"/>
  <c r="AI21" i="7"/>
  <c r="AC37" i="7"/>
  <c r="AA43" i="7"/>
  <c r="AI38" i="7"/>
  <c r="AO22" i="7"/>
  <c r="AI20" i="7"/>
  <c r="Y37" i="7"/>
  <c r="AC36" i="7"/>
  <c r="AN21" i="7"/>
  <c r="Z42" i="7"/>
  <c r="AH37" i="7"/>
  <c r="AE22" i="7"/>
  <c r="Y24" i="7"/>
  <c r="X21" i="7"/>
  <c r="AB21" i="7"/>
  <c r="AB22" i="7"/>
  <c r="Y21" i="7"/>
  <c r="X20" i="7"/>
  <c r="AA21" i="7"/>
  <c r="AE1" i="7"/>
  <c r="AH36" i="7"/>
  <c r="AN20" i="7"/>
  <c r="Y42" i="7"/>
  <c r="AD36" i="7"/>
  <c r="Y38" i="7"/>
  <c r="AJ20" i="7"/>
  <c r="AA41" i="7"/>
  <c r="AG38" i="7"/>
  <c r="AM22" i="7"/>
  <c r="Y40" i="7"/>
  <c r="AL20" i="7"/>
  <c r="AF36" i="7"/>
  <c r="AC21" i="7"/>
  <c r="X22" i="7"/>
  <c r="X23" i="7"/>
  <c r="AD21" i="7"/>
  <c r="AA38" i="7"/>
  <c r="AD38" i="7"/>
  <c r="AJ22" i="7"/>
  <c r="AF38" i="7"/>
  <c r="AL22" i="7"/>
  <c r="AA40" i="7"/>
  <c r="W22" i="7"/>
  <c r="AC20" i="7"/>
  <c r="Y22" i="7"/>
  <c r="AC22" i="7"/>
  <c r="AI36" i="7"/>
  <c r="Y43" i="7"/>
  <c r="AO20" i="7"/>
  <c r="AM21" i="7"/>
  <c r="Z41" i="7"/>
  <c r="AG37" i="7"/>
  <c r="AM20" i="7"/>
  <c r="Y41" i="7"/>
  <c r="AG36" i="7"/>
  <c r="W25" i="7"/>
  <c r="AF20" i="7"/>
  <c r="AF22" i="7"/>
  <c r="Y25" i="7"/>
  <c r="X24" i="7"/>
  <c r="AE21" i="7"/>
  <c r="AC1" i="7"/>
  <c r="AE30" i="7" l="1"/>
  <c r="Y33" i="7"/>
  <c r="X32" i="7"/>
  <c r="AD29" i="7"/>
  <c r="X33" i="7"/>
  <c r="AE29" i="7"/>
  <c r="AD28" i="7"/>
  <c r="W32" i="7"/>
  <c r="AA30" i="7"/>
  <c r="Y29" i="7"/>
  <c r="W33" i="7"/>
  <c r="AE28" i="7"/>
  <c r="X30" i="7"/>
  <c r="AB29" i="7"/>
  <c r="M24" i="7"/>
  <c r="M21" i="7"/>
  <c r="M22" i="7"/>
  <c r="M20" i="7"/>
  <c r="M23" i="7"/>
  <c r="L21" i="7"/>
  <c r="L23" i="7"/>
  <c r="L20" i="7"/>
  <c r="L22" i="7"/>
  <c r="W14" i="7"/>
  <c r="W16" i="7"/>
  <c r="N20" i="7"/>
  <c r="N21" i="7"/>
  <c r="N22" i="7"/>
  <c r="N25" i="7"/>
  <c r="N24" i="7"/>
  <c r="N23" i="7"/>
  <c r="O41" i="7"/>
  <c r="O37" i="7"/>
  <c r="O42" i="7"/>
  <c r="O39" i="7"/>
  <c r="O43" i="7"/>
  <c r="O40" i="7"/>
  <c r="O38" i="7"/>
  <c r="Y30" i="7"/>
  <c r="AB30" i="7"/>
  <c r="AB28" i="7"/>
  <c r="W30" i="7"/>
  <c r="X34" i="7"/>
  <c r="AF29" i="7"/>
  <c r="J20" i="7"/>
  <c r="J21" i="7"/>
  <c r="W31" i="7"/>
  <c r="AC28" i="7"/>
  <c r="AA28" i="7"/>
  <c r="W29" i="7"/>
  <c r="I29" i="7" s="1"/>
  <c r="Y31" i="7"/>
  <c r="AC30" i="7"/>
  <c r="Y32" i="7"/>
  <c r="AD30" i="7"/>
  <c r="K22" i="7"/>
  <c r="K20" i="7"/>
  <c r="K21" i="7"/>
  <c r="N41" i="7"/>
  <c r="N37" i="7"/>
  <c r="N40" i="7"/>
  <c r="N38" i="7"/>
  <c r="N42" i="7"/>
  <c r="N39" i="7"/>
  <c r="X31" i="7"/>
  <c r="AC29" i="7"/>
  <c r="AA29" i="7"/>
  <c r="X29" i="7"/>
  <c r="Y34" i="7"/>
  <c r="AF30" i="7"/>
  <c r="AF28" i="7"/>
  <c r="W34" i="7"/>
  <c r="X16" i="7" l="1"/>
  <c r="AF15" i="7"/>
  <c r="AM12" i="7"/>
  <c r="AI12" i="7"/>
  <c r="X12" i="7"/>
  <c r="X13" i="7"/>
  <c r="AJ12" i="7"/>
  <c r="L31" i="7"/>
  <c r="L32" i="7"/>
  <c r="L29" i="7"/>
  <c r="AC3" i="7" s="1"/>
  <c r="L30" i="7"/>
  <c r="AR7" i="7"/>
  <c r="AJ13" i="7"/>
  <c r="Y13" i="7"/>
  <c r="W11" i="7"/>
  <c r="M31" i="7"/>
  <c r="M29" i="7"/>
  <c r="M30" i="7"/>
  <c r="M32" i="7"/>
  <c r="M33" i="7"/>
  <c r="AH12" i="7"/>
  <c r="X11" i="7"/>
  <c r="J30" i="7"/>
  <c r="J29" i="7"/>
  <c r="M15" i="7"/>
  <c r="M14" i="7"/>
  <c r="M13" i="7"/>
  <c r="W12" i="7"/>
  <c r="AR3" i="7"/>
  <c r="AR8" i="7"/>
  <c r="N32" i="7"/>
  <c r="N34" i="7"/>
  <c r="N31" i="7"/>
  <c r="K12" i="7" s="1"/>
  <c r="N33" i="7"/>
  <c r="M11" i="7" s="1"/>
  <c r="N29" i="7"/>
  <c r="N30" i="7"/>
  <c r="AR6" i="7"/>
  <c r="AR4" i="7"/>
  <c r="L14" i="7"/>
  <c r="L12" i="7"/>
  <c r="L11" i="7"/>
  <c r="AR5" i="7"/>
  <c r="K29" i="7"/>
  <c r="K31" i="7"/>
  <c r="K30" i="7"/>
  <c r="AH13" i="7"/>
  <c r="Y11" i="7"/>
  <c r="N15" i="7"/>
  <c r="N11" i="7"/>
  <c r="AF11" i="7" s="1"/>
  <c r="N13" i="7"/>
  <c r="AF13" i="7" s="1"/>
  <c r="N16" i="7"/>
  <c r="AF16" i="7" s="1"/>
  <c r="W15" i="7"/>
  <c r="W13" i="7"/>
  <c r="AC12" i="7" l="1"/>
  <c r="AS6" i="7"/>
  <c r="BE5" i="7"/>
  <c r="BE3" i="7"/>
  <c r="AQ6" i="7"/>
  <c r="AX6" i="7" s="1"/>
  <c r="AQ4" i="7"/>
  <c r="J48" i="7" s="1"/>
  <c r="BC3" i="7"/>
  <c r="BB3" i="7"/>
  <c r="AQ3" i="7"/>
  <c r="AU3" i="7" s="1"/>
  <c r="B48" i="7" s="1"/>
  <c r="AI13" i="7"/>
  <c r="Y12" i="7"/>
  <c r="AH6" i="7"/>
  <c r="AZ6" i="7" s="1"/>
  <c r="AH5" i="7"/>
  <c r="AH4" i="7"/>
  <c r="AH3" i="7"/>
  <c r="AH8" i="7"/>
  <c r="AZ8" i="7" s="1"/>
  <c r="G48" i="7" s="1"/>
  <c r="AH7" i="7"/>
  <c r="AS3" i="7"/>
  <c r="I49" i="7" s="1"/>
  <c r="I52" i="7" s="1"/>
  <c r="BB5" i="7"/>
  <c r="I54" i="7" s="1"/>
  <c r="AD4" i="7"/>
  <c r="AD3" i="7"/>
  <c r="AV3" i="7" s="1"/>
  <c r="N14" i="7"/>
  <c r="AF14" i="7" s="1"/>
  <c r="AM13" i="7"/>
  <c r="Y16" i="7"/>
  <c r="AK12" i="7"/>
  <c r="X14" i="7"/>
  <c r="AD11" i="7" s="1"/>
  <c r="AF3" i="7"/>
  <c r="AF5" i="7"/>
  <c r="AX5" i="7" s="1"/>
  <c r="AF4" i="7"/>
  <c r="AX4" i="7" s="1"/>
  <c r="AF6" i="7"/>
  <c r="AQ8" i="7"/>
  <c r="AZ5" i="7" s="1"/>
  <c r="AZ7" i="7"/>
  <c r="BG3" i="7"/>
  <c r="AE15" i="7"/>
  <c r="AL12" i="7"/>
  <c r="X15" i="7"/>
  <c r="AE14" i="7" s="1"/>
  <c r="AE11" i="7"/>
  <c r="J11" i="7"/>
  <c r="AB11" i="7" s="1"/>
  <c r="BD5" i="7"/>
  <c r="K54" i="7" s="1"/>
  <c r="AS5" i="7"/>
  <c r="K49" i="7" s="1"/>
  <c r="K52" i="7" s="1"/>
  <c r="BC5" i="7"/>
  <c r="AS4" i="7"/>
  <c r="AE3" i="7"/>
  <c r="AE5" i="7"/>
  <c r="AW5" i="7" s="1"/>
  <c r="D48" i="7" s="1"/>
  <c r="AE4" i="7"/>
  <c r="Y15" i="7"/>
  <c r="M49" i="7" s="1"/>
  <c r="M52" i="7" s="1"/>
  <c r="AL13" i="7"/>
  <c r="AK13" i="7"/>
  <c r="L54" i="7" s="1"/>
  <c r="Y14" i="7"/>
  <c r="AQ7" i="7"/>
  <c r="AY3" i="7" s="1"/>
  <c r="BF3" i="7"/>
  <c r="K13" i="7"/>
  <c r="AC13" i="7" s="1"/>
  <c r="N48" i="7"/>
  <c r="I48" i="7"/>
  <c r="L48" i="7"/>
  <c r="N12" i="7"/>
  <c r="AF12" i="7" s="1"/>
  <c r="L13" i="7"/>
  <c r="AD13" i="7" s="1"/>
  <c r="AG6" i="7"/>
  <c r="AG5" i="7"/>
  <c r="AG4" i="7"/>
  <c r="AG7" i="7"/>
  <c r="AG3" i="7"/>
  <c r="BD3" i="7"/>
  <c r="AQ5" i="7"/>
  <c r="K48" i="7" s="1"/>
  <c r="AW4" i="7"/>
  <c r="K11" i="7"/>
  <c r="AC11" i="7" s="1"/>
  <c r="BG5" i="7"/>
  <c r="AS8" i="7"/>
  <c r="I11" i="7"/>
  <c r="AA11" i="7" s="1"/>
  <c r="M12" i="7"/>
  <c r="AE12" i="7" s="1"/>
  <c r="J12" i="7"/>
  <c r="AB12" i="7" s="1"/>
  <c r="AS7" i="7"/>
  <c r="BF5" i="7"/>
  <c r="N49" i="7" l="1"/>
  <c r="N52" i="7" s="1"/>
  <c r="G54" i="7" s="1"/>
  <c r="AZ3" i="7"/>
  <c r="AZ4" i="7"/>
  <c r="M54" i="7"/>
  <c r="AY7" i="7"/>
  <c r="F48" i="7" s="1"/>
  <c r="M48" i="7"/>
  <c r="F54" i="7" s="1"/>
  <c r="AY4" i="7"/>
  <c r="AY5" i="7"/>
  <c r="AY6" i="7"/>
  <c r="L49" i="7"/>
  <c r="L52" i="7" s="1"/>
  <c r="E54" i="7" s="1"/>
  <c r="AX3" i="7"/>
  <c r="AV4" i="7"/>
  <c r="K51" i="7"/>
  <c r="D54" i="7"/>
  <c r="L51" i="7"/>
  <c r="AD14" i="7"/>
  <c r="E48" i="7"/>
  <c r="J54" i="7"/>
  <c r="I51" i="7"/>
  <c r="B54" i="7" s="1"/>
  <c r="AE13" i="7"/>
  <c r="AD12" i="7"/>
  <c r="N54" i="7"/>
  <c r="AW3" i="7"/>
  <c r="C48" i="7"/>
  <c r="J51" i="7"/>
  <c r="J49" i="7"/>
  <c r="J52" i="7" s="1"/>
  <c r="C54" i="7" s="1"/>
  <c r="N51" i="7"/>
  <c r="M51" i="7" l="1"/>
  <c r="AL9" i="6"/>
  <c r="AK9" i="6"/>
  <c r="AJ9" i="6"/>
  <c r="AI9" i="6"/>
  <c r="AH9" i="6"/>
  <c r="AG9" i="6"/>
  <c r="J9" i="6"/>
  <c r="A45" i="5" l="1"/>
  <c r="AL9" i="5"/>
  <c r="AK9" i="5"/>
  <c r="AJ9" i="5"/>
  <c r="AI9" i="5"/>
  <c r="AH9" i="5"/>
  <c r="AG9" i="5"/>
  <c r="M9" i="5"/>
  <c r="L9" i="5"/>
  <c r="K9" i="5"/>
  <c r="J9" i="5"/>
  <c r="I9" i="5"/>
  <c r="AL16" i="6"/>
  <c r="AL15" i="6"/>
  <c r="AL14" i="6"/>
  <c r="AL13" i="6"/>
  <c r="AL12" i="6"/>
  <c r="AL11" i="6"/>
  <c r="AK15" i="6"/>
  <c r="AK14" i="6"/>
  <c r="AK13" i="6"/>
  <c r="AK12" i="6"/>
  <c r="AK11" i="6"/>
  <c r="AJ14" i="6"/>
  <c r="AJ13" i="6"/>
  <c r="AJ12" i="6"/>
  <c r="AJ11" i="6"/>
  <c r="AI13" i="6"/>
  <c r="AI12" i="6"/>
  <c r="AI11" i="6"/>
  <c r="AH12" i="6"/>
  <c r="AH11" i="6"/>
  <c r="Y41" i="6"/>
  <c r="N41" i="6" s="1"/>
  <c r="N39" i="6"/>
  <c r="N38" i="6"/>
  <c r="N36" i="6"/>
  <c r="N36" i="5"/>
  <c r="N34" i="6"/>
  <c r="O41" i="6"/>
  <c r="C11" i="6"/>
  <c r="D11" i="6"/>
  <c r="N34" i="5"/>
  <c r="N41" i="5"/>
  <c r="N40" i="5"/>
  <c r="N39" i="5"/>
  <c r="N38" i="5"/>
  <c r="N37" i="5"/>
  <c r="V36" i="5"/>
  <c r="N40" i="6" l="1"/>
  <c r="N37" i="6"/>
  <c r="H2" i="6"/>
  <c r="P2" i="6"/>
  <c r="C5" i="6"/>
  <c r="D5" i="6"/>
  <c r="C6" i="6"/>
  <c r="D6" i="6"/>
  <c r="C7" i="6"/>
  <c r="D7" i="6"/>
  <c r="C8" i="6"/>
  <c r="D8" i="6"/>
  <c r="C9" i="6"/>
  <c r="D9" i="6"/>
  <c r="C10" i="6"/>
  <c r="D10" i="6"/>
  <c r="I2" i="6" l="1"/>
  <c r="C18" i="6" s="1"/>
  <c r="E20" i="6" s="1"/>
  <c r="V36" i="6" s="1"/>
  <c r="C14" i="6"/>
  <c r="K34" i="6" l="1"/>
  <c r="I36" i="6"/>
  <c r="S36" i="6"/>
  <c r="Y38" i="6" s="1"/>
  <c r="K36" i="6" s="1"/>
  <c r="I34" i="6"/>
  <c r="M34" i="6"/>
  <c r="Q36" i="6"/>
  <c r="Y36" i="6" s="1"/>
  <c r="U36" i="6"/>
  <c r="Y40" i="6" s="1"/>
  <c r="M36" i="6" s="1"/>
  <c r="O34" i="6"/>
  <c r="R36" i="6"/>
  <c r="Y37" i="6" s="1"/>
  <c r="J36" i="6"/>
  <c r="T36" i="6"/>
  <c r="Y39" i="6" s="1"/>
  <c r="L38" i="6" s="1"/>
  <c r="J34" i="6"/>
  <c r="W36" i="6"/>
  <c r="Y42" i="6" s="1"/>
  <c r="O36" i="6" s="1"/>
  <c r="L34" i="6"/>
  <c r="J37" i="6"/>
  <c r="M38" i="6"/>
  <c r="E12" i="6"/>
  <c r="E16" i="6"/>
  <c r="K37" i="6" l="1"/>
  <c r="K38" i="6"/>
  <c r="L37" i="6"/>
  <c r="M37" i="6"/>
  <c r="M39" i="6"/>
  <c r="M40" i="6"/>
  <c r="L39" i="6"/>
  <c r="L36" i="6"/>
  <c r="J26" i="6"/>
  <c r="N26" i="6"/>
  <c r="Q28" i="6"/>
  <c r="W29" i="6" s="1"/>
  <c r="AU12" i="6" s="1"/>
  <c r="U28" i="6"/>
  <c r="W33" i="6" s="1"/>
  <c r="AU16" i="6" s="1"/>
  <c r="L26" i="6"/>
  <c r="S28" i="6"/>
  <c r="W31" i="6" s="1"/>
  <c r="AU14" i="6" s="1"/>
  <c r="M26" i="6"/>
  <c r="P28" i="6"/>
  <c r="W28" i="6" s="1"/>
  <c r="R28" i="6"/>
  <c r="W30" i="6" s="1"/>
  <c r="AU13" i="6" s="1"/>
  <c r="I26" i="6"/>
  <c r="T28" i="6"/>
  <c r="W32" i="6" s="1"/>
  <c r="AU15" i="6" s="1"/>
  <c r="K26" i="6"/>
  <c r="O40" i="6"/>
  <c r="O42" i="6"/>
  <c r="O39" i="6"/>
  <c r="O37" i="6"/>
  <c r="O38" i="6"/>
  <c r="J18" i="6"/>
  <c r="N18" i="6"/>
  <c r="P20" i="6"/>
  <c r="W20" i="6" s="1"/>
  <c r="I20" i="6" s="1"/>
  <c r="T20" i="6"/>
  <c r="W24" i="6" s="1"/>
  <c r="M24" i="6" s="1"/>
  <c r="L18" i="6"/>
  <c r="R20" i="6"/>
  <c r="W22" i="6" s="1"/>
  <c r="K22" i="6" s="1"/>
  <c r="M18" i="6"/>
  <c r="Q20" i="6"/>
  <c r="W21" i="6" s="1"/>
  <c r="J21" i="6" s="1"/>
  <c r="I18" i="6"/>
  <c r="S20" i="6"/>
  <c r="W23" i="6" s="1"/>
  <c r="L23" i="6" s="1"/>
  <c r="K18" i="6"/>
  <c r="U20" i="6"/>
  <c r="W25" i="6" s="1"/>
  <c r="N24" i="6" s="1"/>
  <c r="J29" i="6" l="1"/>
  <c r="M23" i="6"/>
  <c r="M32" i="6"/>
  <c r="BA15" i="6" s="1"/>
  <c r="N31" i="6"/>
  <c r="N30" i="6"/>
  <c r="L31" i="6"/>
  <c r="AZ12" i="6" s="1"/>
  <c r="M28" i="6"/>
  <c r="K28" i="6"/>
  <c r="M30" i="6"/>
  <c r="J20" i="6"/>
  <c r="N22" i="6"/>
  <c r="K20" i="6"/>
  <c r="L28" i="6"/>
  <c r="N20" i="6"/>
  <c r="M20" i="6"/>
  <c r="K21" i="6"/>
  <c r="L30" i="6"/>
  <c r="N32" i="6"/>
  <c r="M21" i="6"/>
  <c r="AX12" i="6"/>
  <c r="AX11" i="6"/>
  <c r="L22" i="6"/>
  <c r="L9" i="6"/>
  <c r="M9" i="6"/>
  <c r="I9" i="6"/>
  <c r="A45" i="6" s="1"/>
  <c r="N9" i="6"/>
  <c r="K9" i="6"/>
  <c r="M29" i="6"/>
  <c r="K29" i="6"/>
  <c r="M31" i="6"/>
  <c r="N33" i="6"/>
  <c r="L20" i="6"/>
  <c r="L21" i="6"/>
  <c r="AZ11" i="6"/>
  <c r="AZ14" i="6"/>
  <c r="AU11" i="6"/>
  <c r="N28" i="6"/>
  <c r="K30" i="6"/>
  <c r="W14" i="6"/>
  <c r="E49" i="6" s="1"/>
  <c r="E51" i="6" s="1"/>
  <c r="W11" i="6"/>
  <c r="B49" i="6" s="1"/>
  <c r="B51" i="6" s="1"/>
  <c r="W15" i="6"/>
  <c r="F49" i="6" s="1"/>
  <c r="F51" i="6" s="1"/>
  <c r="W12" i="6"/>
  <c r="C49" i="6" s="1"/>
  <c r="C51" i="6" s="1"/>
  <c r="W16" i="6"/>
  <c r="G49" i="6" s="1"/>
  <c r="G51" i="6" s="1"/>
  <c r="W13" i="6"/>
  <c r="D49" i="6" s="1"/>
  <c r="D51" i="6" s="1"/>
  <c r="N21" i="6"/>
  <c r="N25" i="6"/>
  <c r="M22" i="6"/>
  <c r="N23" i="6"/>
  <c r="I28" i="6"/>
  <c r="N29" i="6"/>
  <c r="J28" i="6"/>
  <c r="L29" i="6"/>
  <c r="BA13" i="6" l="1"/>
  <c r="M12" i="6"/>
  <c r="AC12" i="6" s="1"/>
  <c r="M15" i="6"/>
  <c r="AC15" i="6" s="1"/>
  <c r="F47" i="6" s="1"/>
  <c r="F53" i="6" s="1"/>
  <c r="BA11" i="6"/>
  <c r="M13" i="6"/>
  <c r="BA14" i="6"/>
  <c r="BA12" i="6"/>
  <c r="M11" i="6"/>
  <c r="AC11" i="6" s="1"/>
  <c r="M14" i="6"/>
  <c r="AZ13" i="6"/>
  <c r="AW11" i="6"/>
  <c r="AC13" i="6"/>
  <c r="AC14" i="6"/>
  <c r="N11" i="6"/>
  <c r="AD11" i="6" s="1"/>
  <c r="N16" i="6"/>
  <c r="AD16" i="6" s="1"/>
  <c r="N12" i="6"/>
  <c r="AD12" i="6" s="1"/>
  <c r="N15" i="6"/>
  <c r="AD15" i="6" s="1"/>
  <c r="N13" i="6"/>
  <c r="AD13" i="6" s="1"/>
  <c r="N14" i="6"/>
  <c r="AD14" i="6" s="1"/>
  <c r="AY11" i="6"/>
  <c r="AY12" i="6"/>
  <c r="AY13" i="6"/>
  <c r="J11" i="6"/>
  <c r="Z11" i="6" s="1"/>
  <c r="J12" i="6"/>
  <c r="Z12" i="6" s="1"/>
  <c r="C47" i="6" s="1"/>
  <c r="C53" i="6" s="1"/>
  <c r="K12" i="6"/>
  <c r="AA12" i="6" s="1"/>
  <c r="I11" i="6"/>
  <c r="Y11" i="6" s="1"/>
  <c r="L12" i="6"/>
  <c r="AB12" i="6" s="1"/>
  <c r="L11" i="6"/>
  <c r="AB11" i="6" s="1"/>
  <c r="L13" i="6"/>
  <c r="AB13" i="6" s="1"/>
  <c r="L14" i="6"/>
  <c r="AB14" i="6" s="1"/>
  <c r="E47" i="6" s="1"/>
  <c r="E53" i="6" s="1"/>
  <c r="K11" i="6"/>
  <c r="AA11" i="6" s="1"/>
  <c r="BB13" i="6"/>
  <c r="BB14" i="6"/>
  <c r="BB12" i="6"/>
  <c r="BB15" i="6"/>
  <c r="BB16" i="6"/>
  <c r="BB11" i="6"/>
  <c r="K13" i="6"/>
  <c r="AA13" i="6" s="1"/>
  <c r="D47" i="6" s="1"/>
  <c r="D53" i="6" s="1"/>
  <c r="G47" i="6" l="1"/>
  <c r="G53" i="6" s="1"/>
  <c r="B47" i="6"/>
  <c r="B53" i="6" s="1"/>
  <c r="H2" i="5"/>
  <c r="I2" i="5"/>
  <c r="E16" i="5" s="1"/>
  <c r="J2" i="5"/>
  <c r="P2" i="5"/>
  <c r="C5" i="5"/>
  <c r="D5" i="5"/>
  <c r="C6" i="5"/>
  <c r="D6" i="5"/>
  <c r="C7" i="5"/>
  <c r="D7" i="5"/>
  <c r="C8" i="5"/>
  <c r="D8" i="5"/>
  <c r="C9" i="5"/>
  <c r="D9" i="5"/>
  <c r="C10" i="5"/>
  <c r="D10" i="5"/>
  <c r="C11" i="5"/>
  <c r="D11" i="5"/>
  <c r="E12" i="5"/>
  <c r="C14" i="5"/>
  <c r="C18" i="5"/>
  <c r="C28" i="5" s="1"/>
  <c r="J18" i="5"/>
  <c r="E22" i="5"/>
  <c r="F22" i="5"/>
  <c r="C24" i="5"/>
  <c r="E26" i="5"/>
  <c r="K2" i="5" l="1"/>
  <c r="I18" i="5"/>
  <c r="M18" i="5"/>
  <c r="S20" i="5"/>
  <c r="W23" i="5" s="1"/>
  <c r="N21" i="5"/>
  <c r="K18" i="5"/>
  <c r="P20" i="5"/>
  <c r="W20" i="5" s="1"/>
  <c r="I20" i="5" s="1"/>
  <c r="U20" i="5"/>
  <c r="W25" i="5" s="1"/>
  <c r="L22" i="5"/>
  <c r="N24" i="5"/>
  <c r="L18" i="5"/>
  <c r="Q20" i="5"/>
  <c r="W21" i="5" s="1"/>
  <c r="J21" i="5" s="1"/>
  <c r="N23" i="5"/>
  <c r="N25" i="5"/>
  <c r="T20" i="5"/>
  <c r="W24" i="5" s="1"/>
  <c r="E20" i="5"/>
  <c r="R20" i="5"/>
  <c r="W22" i="5" s="1"/>
  <c r="K21" i="5" s="1"/>
  <c r="N18" i="5"/>
  <c r="F26" i="5"/>
  <c r="J61" i="3"/>
  <c r="K61" i="3"/>
  <c r="L61" i="3"/>
  <c r="M61" i="3"/>
  <c r="N61" i="3"/>
  <c r="I61" i="3"/>
  <c r="N9" i="5" l="1"/>
  <c r="M24" i="5"/>
  <c r="M20" i="5"/>
  <c r="M23" i="5"/>
  <c r="J20" i="5"/>
  <c r="L26" i="5"/>
  <c r="R28" i="5"/>
  <c r="W30" i="5" s="1"/>
  <c r="I26" i="5"/>
  <c r="N26" i="5"/>
  <c r="S28" i="5"/>
  <c r="W31" i="5" s="1"/>
  <c r="K29" i="5"/>
  <c r="J26" i="5"/>
  <c r="T28" i="5"/>
  <c r="W32" i="5" s="1"/>
  <c r="L31" i="5"/>
  <c r="K26" i="5"/>
  <c r="P28" i="5"/>
  <c r="W28" i="5" s="1"/>
  <c r="I28" i="5" s="1"/>
  <c r="M31" i="5"/>
  <c r="M26" i="5"/>
  <c r="Q28" i="5"/>
  <c r="W29" i="5" s="1"/>
  <c r="J28" i="5"/>
  <c r="U28" i="5"/>
  <c r="W33" i="5" s="1"/>
  <c r="J29" i="5"/>
  <c r="K20" i="5"/>
  <c r="J12" i="5"/>
  <c r="M21" i="5"/>
  <c r="L20" i="5"/>
  <c r="L21" i="5"/>
  <c r="L23" i="5"/>
  <c r="F30" i="5"/>
  <c r="L38" i="5"/>
  <c r="E30" i="5"/>
  <c r="K38" i="5"/>
  <c r="L39" i="5"/>
  <c r="M22" i="5"/>
  <c r="W12" i="5"/>
  <c r="N22" i="5"/>
  <c r="K22" i="5"/>
  <c r="N20" i="5"/>
  <c r="L12" i="5"/>
  <c r="K13" i="5" l="1"/>
  <c r="K11" i="5"/>
  <c r="J34" i="5"/>
  <c r="O34" i="5"/>
  <c r="L36" i="5"/>
  <c r="Q36" i="5"/>
  <c r="Y36" i="5" s="1"/>
  <c r="U36" i="5"/>
  <c r="Y40" i="5" s="1"/>
  <c r="J37" i="5"/>
  <c r="I34" i="5"/>
  <c r="I36" i="5"/>
  <c r="T36" i="5"/>
  <c r="Y39" i="5" s="1"/>
  <c r="K37" i="5"/>
  <c r="K34" i="5"/>
  <c r="J36" i="5"/>
  <c r="Y41" i="5"/>
  <c r="L37" i="5"/>
  <c r="M40" i="5"/>
  <c r="L34" i="5"/>
  <c r="R36" i="5"/>
  <c r="Y37" i="5" s="1"/>
  <c r="M37" i="5"/>
  <c r="M39" i="5"/>
  <c r="M34" i="5"/>
  <c r="S36" i="5"/>
  <c r="Y38" i="5" s="1"/>
  <c r="K36" i="5"/>
  <c r="W36" i="5"/>
  <c r="Y42" i="5" s="1"/>
  <c r="O38" i="5" s="1"/>
  <c r="M38" i="5"/>
  <c r="M36" i="5"/>
  <c r="N32" i="5"/>
  <c r="AU14" i="5"/>
  <c r="W15" i="5"/>
  <c r="W14" i="5"/>
  <c r="L13" i="5"/>
  <c r="K28" i="5"/>
  <c r="I11" i="5" s="1"/>
  <c r="N29" i="5"/>
  <c r="N28" i="5"/>
  <c r="N31" i="5"/>
  <c r="M28" i="5"/>
  <c r="W11" i="5"/>
  <c r="W13" i="5"/>
  <c r="N33" i="5"/>
  <c r="K30" i="5"/>
  <c r="L28" i="5"/>
  <c r="N30" i="5"/>
  <c r="J11" i="5"/>
  <c r="W16" i="5"/>
  <c r="L11" i="5"/>
  <c r="M30" i="5"/>
  <c r="L30" i="5"/>
  <c r="L29" i="5"/>
  <c r="M32" i="5"/>
  <c r="M29" i="5"/>
  <c r="L14" i="5"/>
  <c r="AU13" i="5" l="1"/>
  <c r="D49" i="5" s="1"/>
  <c r="D51" i="5" s="1"/>
  <c r="AU12" i="5"/>
  <c r="C49" i="5" s="1"/>
  <c r="C51" i="5" s="1"/>
  <c r="AJ11" i="5"/>
  <c r="AH11" i="5"/>
  <c r="AH12" i="5"/>
  <c r="O40" i="5"/>
  <c r="AK13" i="5"/>
  <c r="AK14" i="5"/>
  <c r="AK11" i="5"/>
  <c r="AK15" i="5"/>
  <c r="AK12" i="5"/>
  <c r="M15" i="5"/>
  <c r="M12" i="5"/>
  <c r="M11" i="5"/>
  <c r="M14" i="5"/>
  <c r="M13" i="5"/>
  <c r="AI11" i="5"/>
  <c r="AI12" i="5"/>
  <c r="AI13" i="5"/>
  <c r="AU16" i="5"/>
  <c r="G49" i="5" s="1"/>
  <c r="G51" i="5" s="1"/>
  <c r="O42" i="5"/>
  <c r="AL16" i="5" s="1"/>
  <c r="O39" i="5"/>
  <c r="AL11" i="5"/>
  <c r="AL15" i="5"/>
  <c r="AL14" i="5"/>
  <c r="AL12" i="5"/>
  <c r="N13" i="5"/>
  <c r="N11" i="5"/>
  <c r="N12" i="5"/>
  <c r="N14" i="5"/>
  <c r="N16" i="5"/>
  <c r="N15" i="5"/>
  <c r="E49" i="5"/>
  <c r="E51" i="5" s="1"/>
  <c r="AU15" i="5"/>
  <c r="F49" i="5" s="1"/>
  <c r="F51" i="5" s="1"/>
  <c r="O37" i="5"/>
  <c r="O41" i="5"/>
  <c r="O36" i="5"/>
  <c r="K12" i="5"/>
  <c r="C11" i="3"/>
  <c r="D11" i="3"/>
  <c r="H2" i="3"/>
  <c r="C14" i="3" s="1"/>
  <c r="C24" i="3" s="1"/>
  <c r="N14" i="3"/>
  <c r="M14" i="3"/>
  <c r="L14" i="3"/>
  <c r="K14" i="3"/>
  <c r="J14" i="3"/>
  <c r="I14" i="3"/>
  <c r="N23" i="3"/>
  <c r="M23" i="3"/>
  <c r="L23" i="3"/>
  <c r="K23" i="3"/>
  <c r="J23" i="3"/>
  <c r="I23" i="3"/>
  <c r="D10" i="3"/>
  <c r="C10" i="3"/>
  <c r="D9" i="3"/>
  <c r="C9" i="3"/>
  <c r="D8" i="3"/>
  <c r="C8" i="3"/>
  <c r="D7" i="3"/>
  <c r="C7" i="3"/>
  <c r="D6" i="3"/>
  <c r="C6" i="3"/>
  <c r="D5" i="3"/>
  <c r="C5" i="3"/>
  <c r="P2" i="3"/>
  <c r="G47" i="5" l="1"/>
  <c r="G53" i="5" s="1"/>
  <c r="AJ13" i="5"/>
  <c r="F47" i="5"/>
  <c r="F53" i="5" s="1"/>
  <c r="D47" i="5"/>
  <c r="D53" i="5" s="1"/>
  <c r="C47" i="5"/>
  <c r="C53" i="5" s="1"/>
  <c r="AJ14" i="5"/>
  <c r="E47" i="5" s="1"/>
  <c r="E53" i="5" s="1"/>
  <c r="AJ12" i="5"/>
  <c r="AU11" i="5"/>
  <c r="AL13" i="5"/>
  <c r="I2" i="3"/>
  <c r="E12" i="3"/>
  <c r="B49" i="5" l="1"/>
  <c r="B51" i="5" s="1"/>
  <c r="B47" i="5"/>
  <c r="J2" i="3"/>
  <c r="C18" i="3"/>
  <c r="E16" i="3"/>
  <c r="E22" i="3"/>
  <c r="F22" i="3" s="1"/>
  <c r="B53" i="5" l="1"/>
  <c r="E20" i="3"/>
  <c r="C28" i="3"/>
  <c r="Q26" i="3"/>
  <c r="AB26" i="3" s="1"/>
  <c r="U26" i="3"/>
  <c r="AF26" i="3" s="1"/>
  <c r="R27" i="3"/>
  <c r="AC27" i="3" s="1"/>
  <c r="R28" i="3"/>
  <c r="AC28" i="3" s="1"/>
  <c r="T28" i="3"/>
  <c r="AE28" i="3" s="1"/>
  <c r="U27" i="3"/>
  <c r="AF27" i="3" s="1"/>
  <c r="U28" i="3"/>
  <c r="AF28" i="3" s="1"/>
  <c r="R26" i="3"/>
  <c r="AC26" i="3" s="1"/>
  <c r="S27" i="3"/>
  <c r="AD27" i="3" s="1"/>
  <c r="S28" i="3"/>
  <c r="AD28" i="3" s="1"/>
  <c r="S26" i="3"/>
  <c r="AD26" i="3" s="1"/>
  <c r="P27" i="3"/>
  <c r="AA27" i="3" s="1"/>
  <c r="T27" i="3"/>
  <c r="AE27" i="3" s="1"/>
  <c r="P28" i="3"/>
  <c r="AA28" i="3" s="1"/>
  <c r="P26" i="3"/>
  <c r="AA26" i="3" s="1"/>
  <c r="T26" i="3"/>
  <c r="AE26" i="3" s="1"/>
  <c r="Q27" i="3"/>
  <c r="AB27" i="3" s="1"/>
  <c r="Q28" i="3"/>
  <c r="AB28" i="3" s="1"/>
  <c r="E26" i="3"/>
  <c r="F26" i="3" s="1"/>
  <c r="U35" i="3" s="1"/>
  <c r="AF34" i="3" s="1"/>
  <c r="K2" i="3"/>
  <c r="E30" i="3"/>
  <c r="F30" i="3" s="1"/>
  <c r="I43" i="3" l="1"/>
  <c r="K45" i="3"/>
  <c r="V43" i="3"/>
  <c r="V44" i="3"/>
  <c r="T44" i="3"/>
  <c r="U44" i="3"/>
  <c r="W45" i="3"/>
  <c r="L44" i="3"/>
  <c r="L45" i="3"/>
  <c r="R43" i="3"/>
  <c r="V45" i="3"/>
  <c r="Q43" i="3"/>
  <c r="J44" i="3"/>
  <c r="T45" i="3"/>
  <c r="S45" i="3"/>
  <c r="S43" i="3"/>
  <c r="T43" i="3"/>
  <c r="U43" i="3"/>
  <c r="L43" i="3"/>
  <c r="J43" i="3"/>
  <c r="K43" i="3"/>
  <c r="S44" i="3"/>
  <c r="W43" i="3"/>
  <c r="Q45" i="3"/>
  <c r="R45" i="3"/>
  <c r="R44" i="3"/>
  <c r="K44" i="3"/>
  <c r="W44" i="3"/>
  <c r="U45" i="3"/>
  <c r="Q44" i="3"/>
  <c r="L46" i="3"/>
  <c r="X27" i="3"/>
  <c r="X31" i="3"/>
  <c r="X28" i="3"/>
  <c r="W30" i="3"/>
  <c r="W29" i="3"/>
  <c r="Y29" i="3"/>
  <c r="S35" i="3"/>
  <c r="AD34" i="3" s="1"/>
  <c r="Q36" i="3"/>
  <c r="AB35" i="3" s="1"/>
  <c r="U36" i="3"/>
  <c r="AF35" i="3" s="1"/>
  <c r="R37" i="3"/>
  <c r="AC36" i="3" s="1"/>
  <c r="Q35" i="3"/>
  <c r="AB34" i="3" s="1"/>
  <c r="P37" i="3"/>
  <c r="AA36" i="3" s="1"/>
  <c r="P35" i="3"/>
  <c r="AA34" i="3" s="1"/>
  <c r="T35" i="3"/>
  <c r="AE34" i="3" s="1"/>
  <c r="R36" i="3"/>
  <c r="AC35" i="3" s="1"/>
  <c r="S37" i="3"/>
  <c r="AD36" i="3" s="1"/>
  <c r="S36" i="3"/>
  <c r="AD35" i="3" s="1"/>
  <c r="T37" i="3"/>
  <c r="AE36" i="3" s="1"/>
  <c r="R35" i="3"/>
  <c r="AC34" i="3" s="1"/>
  <c r="P36" i="3"/>
  <c r="AA35" i="3" s="1"/>
  <c r="T36" i="3"/>
  <c r="AE35" i="3" s="1"/>
  <c r="Q37" i="3"/>
  <c r="AB36" i="3" s="1"/>
  <c r="U37" i="3"/>
  <c r="AF36" i="3" s="1"/>
  <c r="Y27" i="3"/>
  <c r="X26" i="3"/>
  <c r="X29" i="3"/>
  <c r="W27" i="3"/>
  <c r="Y26" i="3"/>
  <c r="Y30" i="3"/>
  <c r="W26" i="3"/>
  <c r="I26" i="3" s="1"/>
  <c r="X30" i="3"/>
  <c r="W28" i="3"/>
  <c r="Y31" i="3"/>
  <c r="Y28" i="3"/>
  <c r="W31" i="3"/>
  <c r="Y39" i="3" l="1"/>
  <c r="AC43" i="3"/>
  <c r="Z43" i="3"/>
  <c r="AD43" i="3"/>
  <c r="Z44" i="3"/>
  <c r="Z45" i="3"/>
  <c r="AE43" i="3"/>
  <c r="AG42" i="3"/>
  <c r="Y47" i="3"/>
  <c r="AF44" i="3"/>
  <c r="AA46" i="3"/>
  <c r="AH44" i="3"/>
  <c r="AA48" i="3"/>
  <c r="Y40" i="3"/>
  <c r="Y37" i="3"/>
  <c r="AG44" i="3"/>
  <c r="AA47" i="3"/>
  <c r="AD44" i="3"/>
  <c r="AA44" i="3"/>
  <c r="AF42" i="3"/>
  <c r="Y46" i="3"/>
  <c r="AD42" i="3"/>
  <c r="Y44" i="3"/>
  <c r="AI44" i="3"/>
  <c r="AA49" i="3"/>
  <c r="AH42" i="3"/>
  <c r="Y48" i="3"/>
  <c r="N28" i="3"/>
  <c r="N26" i="3"/>
  <c r="N31" i="3"/>
  <c r="N27" i="3"/>
  <c r="N30" i="3"/>
  <c r="N29" i="3"/>
  <c r="Y36" i="3"/>
  <c r="W37" i="3"/>
  <c r="X38" i="3"/>
  <c r="Y38" i="3"/>
  <c r="W39" i="3"/>
  <c r="Y35" i="3"/>
  <c r="W38" i="3"/>
  <c r="M29" i="3"/>
  <c r="M30" i="3"/>
  <c r="M27" i="3"/>
  <c r="M28" i="3"/>
  <c r="M26" i="3"/>
  <c r="AI43" i="3"/>
  <c r="Z49" i="3"/>
  <c r="AC44" i="3"/>
  <c r="AA43" i="3"/>
  <c r="AE42" i="3"/>
  <c r="Y45" i="3"/>
  <c r="AG43" i="3"/>
  <c r="Z47" i="3"/>
  <c r="K26" i="3"/>
  <c r="K28" i="3"/>
  <c r="K27" i="3"/>
  <c r="W40" i="3"/>
  <c r="X37" i="3"/>
  <c r="W36" i="3"/>
  <c r="X36" i="3"/>
  <c r="L28" i="3"/>
  <c r="L29" i="3"/>
  <c r="L27" i="3"/>
  <c r="L26" i="3"/>
  <c r="AH43" i="3"/>
  <c r="Z48" i="3"/>
  <c r="X35" i="3"/>
  <c r="J27" i="3"/>
  <c r="J26" i="3"/>
  <c r="X39" i="3"/>
  <c r="W35" i="3"/>
  <c r="I35" i="3" s="1"/>
  <c r="X40" i="3"/>
  <c r="AI42" i="3"/>
  <c r="Y49" i="3"/>
  <c r="AE44" i="3"/>
  <c r="AA45" i="3"/>
  <c r="AC42" i="3"/>
  <c r="Y43" i="3"/>
  <c r="AF43" i="3"/>
  <c r="Z46" i="3"/>
  <c r="AL10" i="3" l="1"/>
  <c r="X12" i="3"/>
  <c r="W19" i="3"/>
  <c r="AL19" i="3"/>
  <c r="X9" i="3"/>
  <c r="AI10" i="3"/>
  <c r="AM10" i="3"/>
  <c r="X13" i="3"/>
  <c r="AI18" i="3"/>
  <c r="W20" i="3"/>
  <c r="W21" i="3"/>
  <c r="AK10" i="3"/>
  <c r="X11" i="3"/>
  <c r="X8" i="3"/>
  <c r="AJ10" i="3"/>
  <c r="X10" i="3"/>
  <c r="AK18" i="3"/>
  <c r="AL18" i="3"/>
  <c r="AJ19" i="3"/>
  <c r="W22" i="3"/>
  <c r="AH18" i="3"/>
  <c r="AH10" i="3"/>
  <c r="AK19" i="3"/>
  <c r="AM18" i="3"/>
  <c r="AJ18" i="3"/>
  <c r="Y18" i="3"/>
  <c r="O49" i="3"/>
  <c r="O43" i="3"/>
  <c r="O45" i="3"/>
  <c r="O44" i="3"/>
  <c r="O46" i="3"/>
  <c r="O47" i="3"/>
  <c r="O48" i="3"/>
  <c r="L38" i="3"/>
  <c r="L36" i="3"/>
  <c r="W17" i="3"/>
  <c r="L37" i="3"/>
  <c r="L35" i="3"/>
  <c r="N47" i="3"/>
  <c r="N45" i="3"/>
  <c r="N46" i="3"/>
  <c r="N48" i="3"/>
  <c r="N43" i="3"/>
  <c r="N44" i="3"/>
  <c r="N35" i="3"/>
  <c r="N36" i="3"/>
  <c r="N37" i="3"/>
  <c r="N39" i="3"/>
  <c r="N38" i="3"/>
  <c r="N40" i="3"/>
  <c r="N21" i="3" s="1"/>
  <c r="M47" i="3"/>
  <c r="M44" i="3"/>
  <c r="M45" i="3"/>
  <c r="M46" i="3"/>
  <c r="M43" i="3"/>
  <c r="W18" i="3"/>
  <c r="M36" i="3"/>
  <c r="M38" i="3"/>
  <c r="M37" i="3"/>
  <c r="M39" i="3"/>
  <c r="M35" i="3"/>
  <c r="J36" i="3"/>
  <c r="J35" i="3"/>
  <c r="K37" i="3"/>
  <c r="K35" i="3"/>
  <c r="K36" i="3"/>
  <c r="X17" i="3" l="1"/>
  <c r="AA17" i="3" s="1"/>
  <c r="Y22" i="3"/>
  <c r="AM19" i="3"/>
  <c r="U60" i="3" s="1"/>
  <c r="I17" i="3"/>
  <c r="I8" i="3"/>
  <c r="K17" i="3"/>
  <c r="K9" i="3"/>
  <c r="K8" i="3"/>
  <c r="K10" i="3"/>
  <c r="L10" i="3"/>
  <c r="L9" i="3"/>
  <c r="L8" i="3"/>
  <c r="L11" i="3"/>
  <c r="M10" i="3"/>
  <c r="M9" i="3"/>
  <c r="M12" i="3"/>
  <c r="M8" i="3"/>
  <c r="M11" i="3"/>
  <c r="J17" i="3"/>
  <c r="J9" i="3"/>
  <c r="J8" i="3"/>
  <c r="J18" i="3"/>
  <c r="N22" i="3"/>
  <c r="Y19" i="3"/>
  <c r="Y8" i="3"/>
  <c r="Y9" i="3"/>
  <c r="Q55" i="3" s="1"/>
  <c r="Q60" i="3"/>
  <c r="Y17" i="3"/>
  <c r="L18" i="3"/>
  <c r="L19" i="3"/>
  <c r="L17" i="3"/>
  <c r="L20" i="3"/>
  <c r="Y21" i="3"/>
  <c r="Y11" i="3"/>
  <c r="W12" i="3"/>
  <c r="K19" i="3"/>
  <c r="K18" i="3"/>
  <c r="X18" i="3"/>
  <c r="W10" i="3"/>
  <c r="X19" i="3"/>
  <c r="Y12" i="3"/>
  <c r="Y20" i="3"/>
  <c r="S55" i="3" s="1"/>
  <c r="N8" i="3"/>
  <c r="N12" i="3"/>
  <c r="N9" i="3"/>
  <c r="N17" i="3"/>
  <c r="N13" i="3"/>
  <c r="N10" i="3"/>
  <c r="N19" i="3"/>
  <c r="N11" i="3"/>
  <c r="N18" i="3"/>
  <c r="M18" i="3"/>
  <c r="M20" i="3"/>
  <c r="M21" i="3"/>
  <c r="M19" i="3"/>
  <c r="M17" i="3"/>
  <c r="X22" i="3"/>
  <c r="Y10" i="3"/>
  <c r="N20" i="3"/>
  <c r="W9" i="3"/>
  <c r="X21" i="3"/>
  <c r="X20" i="3"/>
  <c r="W13" i="3"/>
  <c r="W11" i="3"/>
  <c r="Y13" i="3"/>
  <c r="W8" i="3"/>
  <c r="AA8" i="3" s="1"/>
  <c r="AF19" i="3" l="1"/>
  <c r="AF18" i="3"/>
  <c r="AF20" i="3"/>
  <c r="AF17" i="3"/>
  <c r="AF22" i="3"/>
  <c r="AF21" i="3"/>
  <c r="AE18" i="3"/>
  <c r="AE21" i="3"/>
  <c r="AE17" i="3"/>
  <c r="AE20" i="3"/>
  <c r="AE19" i="3"/>
  <c r="AD18" i="3"/>
  <c r="AD19" i="3"/>
  <c r="AD20" i="3"/>
  <c r="AD17" i="3"/>
  <c r="AC18" i="3"/>
  <c r="AC19" i="3"/>
  <c r="AC17" i="3"/>
  <c r="AB17" i="3"/>
  <c r="AB18" i="3"/>
  <c r="AF10" i="3"/>
  <c r="AF12" i="3"/>
  <c r="AF11" i="3"/>
  <c r="AF9" i="3"/>
  <c r="AF13" i="3"/>
  <c r="AF8" i="3"/>
  <c r="AE11" i="3"/>
  <c r="AE10" i="3"/>
  <c r="AE9" i="3"/>
  <c r="AE12" i="3"/>
  <c r="AE8" i="3"/>
  <c r="AD9" i="3"/>
  <c r="AD8" i="3"/>
  <c r="AD10" i="3"/>
  <c r="AD11" i="3"/>
  <c r="AC9" i="3"/>
  <c r="AC8" i="3"/>
  <c r="AC10" i="3"/>
  <c r="AB9" i="3"/>
  <c r="AB8" i="3"/>
  <c r="P55" i="3"/>
  <c r="P58" i="3" s="1"/>
  <c r="U55" i="3"/>
  <c r="U58" i="3" s="1"/>
  <c r="N60" i="3" s="1"/>
  <c r="T54" i="3"/>
  <c r="T57" i="3" s="1"/>
  <c r="R54" i="3"/>
  <c r="P54" i="3"/>
  <c r="P57" i="3" s="1"/>
  <c r="U54" i="3"/>
  <c r="S54" i="3"/>
  <c r="Q54" i="3"/>
  <c r="R55" i="3"/>
  <c r="R58" i="3" s="1"/>
  <c r="K60" i="3" s="1"/>
  <c r="T55" i="3"/>
  <c r="T58" i="3" s="1"/>
  <c r="Q58" i="3"/>
  <c r="J60" i="3" s="1"/>
  <c r="S58" i="3"/>
  <c r="L60" i="3" s="1"/>
  <c r="S60" i="3"/>
  <c r="P60" i="3"/>
  <c r="N54" i="3"/>
  <c r="T60" i="3"/>
  <c r="R60" i="3"/>
  <c r="I60" i="3" l="1"/>
  <c r="K54" i="3"/>
  <c r="M60" i="3"/>
  <c r="J54" i="3"/>
  <c r="M54" i="3"/>
  <c r="I54" i="3"/>
  <c r="S57" i="3"/>
  <c r="R57" i="3"/>
  <c r="U57" i="3"/>
  <c r="L54" i="3"/>
  <c r="Q57" i="3"/>
</calcChain>
</file>

<file path=xl/comments1.xml><?xml version="1.0" encoding="utf-8"?>
<comments xmlns="http://schemas.openxmlformats.org/spreadsheetml/2006/main">
  <authors>
    <author>L.W.Huang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L.W.Huang: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不贖回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L.W.Huang: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贖回</t>
        </r>
      </text>
    </comment>
  </commentList>
</comments>
</file>

<file path=xl/sharedStrings.xml><?xml version="1.0" encoding="utf-8"?>
<sst xmlns="http://schemas.openxmlformats.org/spreadsheetml/2006/main" count="351" uniqueCount="112">
  <si>
    <t>SB</t>
  </si>
  <si>
    <t>CB</t>
  </si>
  <si>
    <t>tax rate</t>
  </si>
  <si>
    <t>coupon rate of SB</t>
  </si>
  <si>
    <t>coupon rate of CB</t>
  </si>
  <si>
    <t>Sigma</t>
  </si>
  <si>
    <t>u</t>
  </si>
  <si>
    <t>d</t>
  </si>
  <si>
    <t>p</t>
  </si>
  <si>
    <t>q</t>
  </si>
  <si>
    <t>Period1</t>
    <phoneticPr fontId="3" type="noConversion"/>
  </si>
  <si>
    <t>SB</t>
    <phoneticPr fontId="3" type="noConversion"/>
  </si>
  <si>
    <t>Period2</t>
    <phoneticPr fontId="3" type="noConversion"/>
  </si>
  <si>
    <t>CB</t>
    <phoneticPr fontId="3" type="noConversion"/>
  </si>
  <si>
    <t>Equity</t>
    <phoneticPr fontId="3" type="noConversion"/>
  </si>
  <si>
    <t>Stock</t>
    <phoneticPr fontId="3" type="noConversion"/>
  </si>
  <si>
    <t>converted ratio</t>
    <phoneticPr fontId="3" type="noConversion"/>
  </si>
  <si>
    <t>rate</t>
    <phoneticPr fontId="3" type="noConversion"/>
  </si>
  <si>
    <t>deltaT</t>
    <phoneticPr fontId="3" type="noConversion"/>
  </si>
  <si>
    <t>CBValue</t>
    <phoneticPr fontId="3" type="noConversion"/>
  </si>
  <si>
    <t>Period0</t>
    <phoneticPr fontId="3" type="noConversion"/>
  </si>
  <si>
    <t>Equity</t>
    <phoneticPr fontId="3" type="noConversion"/>
  </si>
  <si>
    <t>Stock</t>
    <phoneticPr fontId="3" type="noConversion"/>
  </si>
  <si>
    <t>Default Boundary</t>
    <phoneticPr fontId="3" type="noConversion"/>
  </si>
  <si>
    <t>Bankruptcy cost</t>
    <phoneticPr fontId="3" type="noConversion"/>
  </si>
  <si>
    <t>B0</t>
    <phoneticPr fontId="3" type="noConversion"/>
  </si>
  <si>
    <t>B1</t>
    <phoneticPr fontId="3" type="noConversion"/>
  </si>
  <si>
    <t>B2</t>
    <phoneticPr fontId="3" type="noConversion"/>
  </si>
  <si>
    <t>CBValue</t>
    <phoneticPr fontId="3" type="noConversion"/>
  </si>
  <si>
    <t>SB Final Pay</t>
    <phoneticPr fontId="3" type="noConversion"/>
  </si>
  <si>
    <t>SB@t1</t>
    <phoneticPr fontId="3" type="noConversion"/>
  </si>
  <si>
    <t>Also default boundary after call</t>
    <phoneticPr fontId="3" type="noConversion"/>
  </si>
  <si>
    <t>Call Price</t>
    <phoneticPr fontId="3" type="noConversion"/>
  </si>
  <si>
    <t>不Call</t>
    <phoneticPr fontId="3" type="noConversion"/>
  </si>
  <si>
    <t>本期Call</t>
    <phoneticPr fontId="3" type="noConversion"/>
  </si>
  <si>
    <t>之前Call</t>
    <phoneticPr fontId="3" type="noConversion"/>
  </si>
  <si>
    <t>如之前已Call, CBValue=0</t>
    <phoneticPr fontId="3" type="noConversion"/>
  </si>
  <si>
    <t>Call Value</t>
    <phoneticPr fontId="3" type="noConversion"/>
  </si>
  <si>
    <t>不存在</t>
    <phoneticPr fontId="3" type="noConversion"/>
  </si>
  <si>
    <t>Call Value</t>
  </si>
  <si>
    <t>當期call</t>
    <phoneticPr fontId="3" type="noConversion"/>
  </si>
  <si>
    <t>不call</t>
    <phoneticPr fontId="3" type="noConversion"/>
  </si>
  <si>
    <t>之前已贖回</t>
    <phoneticPr fontId="3" type="noConversion"/>
  </si>
  <si>
    <t>普通債</t>
    <phoneticPr fontId="3" type="noConversion"/>
  </si>
  <si>
    <t>當期不贖回</t>
    <phoneticPr fontId="3" type="noConversion"/>
  </si>
  <si>
    <t>當期贖回</t>
    <phoneticPr fontId="3" type="noConversion"/>
  </si>
  <si>
    <t>之前已贖回</t>
    <phoneticPr fontId="3" type="noConversion"/>
  </si>
  <si>
    <t>已轉換比例</t>
    <phoneticPr fontId="10" type="noConversion"/>
  </si>
  <si>
    <t>q</t>
    <phoneticPr fontId="3" type="noConversion"/>
  </si>
  <si>
    <t>p'</t>
    <phoneticPr fontId="3" type="noConversion"/>
  </si>
  <si>
    <t>q</t>
    <phoneticPr fontId="3" type="noConversion"/>
  </si>
  <si>
    <t>p'</t>
    <phoneticPr fontId="3" type="noConversion"/>
  </si>
  <si>
    <t>Period1</t>
    <phoneticPr fontId="3" type="noConversion"/>
  </si>
  <si>
    <t>CB hold</t>
    <phoneticPr fontId="3" type="noConversion"/>
  </si>
  <si>
    <t>CB hold</t>
    <phoneticPr fontId="3" type="noConversion"/>
  </si>
  <si>
    <t>CBValue</t>
    <phoneticPr fontId="3" type="noConversion"/>
  </si>
  <si>
    <t>Stock</t>
    <phoneticPr fontId="3" type="noConversion"/>
  </si>
  <si>
    <t>Equity</t>
    <phoneticPr fontId="3" type="noConversion"/>
  </si>
  <si>
    <t>CB</t>
    <phoneticPr fontId="3" type="noConversion"/>
  </si>
  <si>
    <t>SB</t>
    <phoneticPr fontId="3" type="noConversion"/>
  </si>
  <si>
    <t>Period0</t>
    <phoneticPr fontId="3" type="noConversion"/>
  </si>
  <si>
    <t>Period2</t>
    <phoneticPr fontId="3" type="noConversion"/>
  </si>
  <si>
    <t>Period1</t>
    <phoneticPr fontId="3" type="noConversion"/>
  </si>
  <si>
    <t>B2</t>
    <phoneticPr fontId="3" type="noConversion"/>
  </si>
  <si>
    <t>B1</t>
    <phoneticPr fontId="3" type="noConversion"/>
  </si>
  <si>
    <t>B0</t>
    <phoneticPr fontId="3" type="noConversion"/>
  </si>
  <si>
    <t>Default Boundary</t>
    <phoneticPr fontId="3" type="noConversion"/>
  </si>
  <si>
    <t>SB@t1</t>
    <phoneticPr fontId="3" type="noConversion"/>
  </si>
  <si>
    <t>SB Final Pay</t>
    <phoneticPr fontId="3" type="noConversion"/>
  </si>
  <si>
    <t>Bankruptcy cost</t>
    <phoneticPr fontId="3" type="noConversion"/>
  </si>
  <si>
    <t>deltaT</t>
    <phoneticPr fontId="3" type="noConversion"/>
  </si>
  <si>
    <t>rate</t>
    <phoneticPr fontId="3" type="noConversion"/>
  </si>
  <si>
    <t>converted ratio</t>
    <phoneticPr fontId="3" type="noConversion"/>
  </si>
  <si>
    <t>由於Equity的值只要已轉換比率相同，則Equity不變</t>
    <phoneticPr fontId="3" type="noConversion"/>
  </si>
  <si>
    <t>老師由於Equity的值只要已轉換比率相同，則Equity不變</t>
    <phoneticPr fontId="3" type="noConversion"/>
  </si>
  <si>
    <t>由於Equity的值只要已轉換比率相同，則Equity不變</t>
    <phoneticPr fontId="3" type="noConversion"/>
  </si>
  <si>
    <t>由於Equity的值只要已轉換比率相同，則Equity不變</t>
    <phoneticPr fontId="3" type="noConversion"/>
  </si>
  <si>
    <t>由於Equity的值只要已轉換比率相同，則Equity不變</t>
    <phoneticPr fontId="3" type="noConversion"/>
  </si>
  <si>
    <t>converted ratio</t>
    <phoneticPr fontId="3" type="noConversion"/>
  </si>
  <si>
    <t>rate</t>
    <phoneticPr fontId="3" type="noConversion"/>
  </si>
  <si>
    <t>deltaT</t>
    <phoneticPr fontId="3" type="noConversion"/>
  </si>
  <si>
    <t>Bankruptcy cost</t>
    <phoneticPr fontId="3" type="noConversion"/>
  </si>
  <si>
    <t>SB Final Pay</t>
    <phoneticPr fontId="3" type="noConversion"/>
  </si>
  <si>
    <t>SB@t1</t>
    <phoneticPr fontId="3" type="noConversion"/>
  </si>
  <si>
    <t>Call Price</t>
    <phoneticPr fontId="3" type="noConversion"/>
  </si>
  <si>
    <t>CBValue</t>
    <phoneticPr fontId="3" type="noConversion"/>
  </si>
  <si>
    <t>SB</t>
    <phoneticPr fontId="3" type="noConversion"/>
  </si>
  <si>
    <t>CB</t>
    <phoneticPr fontId="3" type="noConversion"/>
  </si>
  <si>
    <t>Equity</t>
    <phoneticPr fontId="3" type="noConversion"/>
  </si>
  <si>
    <t>Stock</t>
    <phoneticPr fontId="3" type="noConversion"/>
  </si>
  <si>
    <t>不Call</t>
    <phoneticPr fontId="3" type="noConversion"/>
  </si>
  <si>
    <t>本期Call</t>
    <phoneticPr fontId="3" type="noConversion"/>
  </si>
  <si>
    <t>之前Call</t>
    <phoneticPr fontId="3" type="noConversion"/>
  </si>
  <si>
    <t>普通債</t>
    <phoneticPr fontId="3" type="noConversion"/>
  </si>
  <si>
    <t>Default Boundary</t>
    <phoneticPr fontId="3" type="noConversion"/>
  </si>
  <si>
    <t>當期不贖回</t>
    <phoneticPr fontId="3" type="noConversion"/>
  </si>
  <si>
    <t>B0</t>
    <phoneticPr fontId="3" type="noConversion"/>
  </si>
  <si>
    <t>B1</t>
    <phoneticPr fontId="3" type="noConversion"/>
  </si>
  <si>
    <t>B2</t>
    <phoneticPr fontId="3" type="noConversion"/>
  </si>
  <si>
    <t>當期贖回</t>
    <phoneticPr fontId="3" type="noConversion"/>
  </si>
  <si>
    <t>不存在</t>
    <phoneticPr fontId="3" type="noConversion"/>
  </si>
  <si>
    <t>之前已贖回</t>
    <phoneticPr fontId="3" type="noConversion"/>
  </si>
  <si>
    <t>Period1</t>
    <phoneticPr fontId="3" type="noConversion"/>
  </si>
  <si>
    <t>Call Value</t>
    <phoneticPr fontId="3" type="noConversion"/>
  </si>
  <si>
    <t>Also default boundary after call</t>
    <phoneticPr fontId="3" type="noConversion"/>
  </si>
  <si>
    <t>股價</t>
    <phoneticPr fontId="3" type="noConversion"/>
  </si>
  <si>
    <t>本期不贖回</t>
    <phoneticPr fontId="3" type="noConversion"/>
  </si>
  <si>
    <t>本期贖回</t>
    <phoneticPr fontId="3" type="noConversion"/>
  </si>
  <si>
    <t>可轉公司債</t>
    <phoneticPr fontId="3" type="noConversion"/>
  </si>
  <si>
    <t>待修正</t>
    <phoneticPr fontId="10" type="noConversion"/>
  </si>
  <si>
    <t>違約待修正</t>
    <phoneticPr fontId="10" type="noConversion"/>
  </si>
  <si>
    <t>違約待修正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</si>
</sst>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00_ "/>
    <numFmt numFmtId="178" formatCode="0.00_ "/>
    <numFmt numFmtId="179" formatCode="0.000_ "/>
  </numFmts>
  <fonts count="23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6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indexed="6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b/>
      <sz val="12"/>
      <color indexed="8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indexed="6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sz val="12"/>
      <color indexed="53"/>
      <name val="新細明體"/>
      <family val="1"/>
      <charset val="136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99FF"/>
        <bgColor indexed="64"/>
      </patternFill>
    </fill>
  </fills>
  <borders count="7">
    <border>
      <left/>
      <right/>
      <top/>
      <bottom/>
      <diagonal/>
    </border>
    <border diagonalUp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9" fontId="0" fillId="4" borderId="0" xfId="0" applyNumberFormat="1" applyFill="1">
      <alignment vertical="center"/>
    </xf>
    <xf numFmtId="0" fontId="0" fillId="6" borderId="0" xfId="0" applyFill="1">
      <alignment vertical="center"/>
    </xf>
    <xf numFmtId="9" fontId="0" fillId="6" borderId="0" xfId="0" applyNumberFormat="1" applyFill="1">
      <alignment vertical="center"/>
    </xf>
    <xf numFmtId="177" fontId="0" fillId="6" borderId="0" xfId="0" applyNumberFormat="1" applyFill="1">
      <alignment vertical="center"/>
    </xf>
    <xf numFmtId="9" fontId="0" fillId="2" borderId="0" xfId="0" applyNumberFormat="1" applyFill="1">
      <alignment vertical="center"/>
    </xf>
    <xf numFmtId="0" fontId="0" fillId="7" borderId="0" xfId="0" applyFill="1">
      <alignment vertical="center"/>
    </xf>
    <xf numFmtId="9" fontId="0" fillId="7" borderId="0" xfId="0" applyNumberFormat="1" applyFill="1">
      <alignment vertical="center"/>
    </xf>
    <xf numFmtId="9" fontId="0" fillId="3" borderId="0" xfId="0" applyNumberFormat="1" applyFill="1">
      <alignment vertical="center"/>
    </xf>
    <xf numFmtId="0" fontId="0" fillId="8" borderId="0" xfId="0" applyFill="1">
      <alignment vertical="center"/>
    </xf>
    <xf numFmtId="9" fontId="0" fillId="8" borderId="0" xfId="0" applyNumberFormat="1" applyFill="1">
      <alignment vertical="center"/>
    </xf>
    <xf numFmtId="179" fontId="0" fillId="8" borderId="0" xfId="0" applyNumberFormat="1" applyFill="1">
      <alignment vertical="center"/>
    </xf>
    <xf numFmtId="179" fontId="4" fillId="4" borderId="0" xfId="0" applyNumberFormat="1" applyFont="1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4" fillId="3" borderId="0" xfId="0" applyFont="1" applyFill="1">
      <alignment vertical="center"/>
    </xf>
    <xf numFmtId="179" fontId="2" fillId="4" borderId="0" xfId="0" applyNumberFormat="1" applyFont="1" applyFill="1">
      <alignment vertical="center"/>
    </xf>
    <xf numFmtId="179" fontId="2" fillId="6" borderId="0" xfId="0" applyNumberFormat="1" applyFont="1" applyFill="1">
      <alignment vertical="center"/>
    </xf>
    <xf numFmtId="179" fontId="2" fillId="8" borderId="0" xfId="0" applyNumberFormat="1" applyFont="1" applyFill="1">
      <alignment vertical="center"/>
    </xf>
    <xf numFmtId="0" fontId="6" fillId="0" borderId="0" xfId="0" applyFont="1">
      <alignment vertical="center"/>
    </xf>
    <xf numFmtId="179" fontId="6" fillId="0" borderId="0" xfId="0" applyNumberFormat="1" applyFont="1">
      <alignment vertical="center"/>
    </xf>
    <xf numFmtId="0" fontId="6" fillId="7" borderId="0" xfId="0" applyFont="1" applyFill="1">
      <alignment vertical="center"/>
    </xf>
    <xf numFmtId="0" fontId="6" fillId="3" borderId="0" xfId="0" applyFont="1" applyFill="1">
      <alignment vertical="center"/>
    </xf>
    <xf numFmtId="0" fontId="6" fillId="2" borderId="0" xfId="0" applyFont="1" applyFill="1">
      <alignment vertical="center"/>
    </xf>
    <xf numFmtId="178" fontId="6" fillId="2" borderId="0" xfId="0" applyNumberFormat="1" applyFont="1" applyFill="1">
      <alignment vertical="center"/>
    </xf>
    <xf numFmtId="0" fontId="7" fillId="2" borderId="0" xfId="0" applyFont="1" applyFill="1">
      <alignment vertical="center"/>
    </xf>
    <xf numFmtId="177" fontId="6" fillId="4" borderId="0" xfId="0" applyNumberFormat="1" applyFont="1" applyFill="1">
      <alignment vertical="center"/>
    </xf>
    <xf numFmtId="0" fontId="6" fillId="4" borderId="0" xfId="0" applyFont="1" applyFill="1">
      <alignment vertical="center"/>
    </xf>
    <xf numFmtId="0" fontId="6" fillId="6" borderId="0" xfId="0" applyFont="1" applyFill="1">
      <alignment vertical="center"/>
    </xf>
    <xf numFmtId="0" fontId="6" fillId="8" borderId="0" xfId="0" applyFont="1" applyFill="1">
      <alignment vertical="center"/>
    </xf>
    <xf numFmtId="0" fontId="7" fillId="6" borderId="0" xfId="0" applyFont="1" applyFill="1">
      <alignment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0" fillId="2" borderId="0" xfId="0" applyNumberFormat="1" applyFill="1">
      <alignment vertical="center"/>
    </xf>
    <xf numFmtId="0" fontId="6" fillId="4" borderId="0" xfId="0" applyNumberFormat="1" applyFont="1" applyFill="1">
      <alignment vertical="center"/>
    </xf>
    <xf numFmtId="179" fontId="1" fillId="4" borderId="0" xfId="0" applyNumberFormat="1" applyFont="1" applyFill="1">
      <alignment vertical="center"/>
    </xf>
    <xf numFmtId="0" fontId="2" fillId="8" borderId="0" xfId="0" applyFont="1" applyFill="1">
      <alignment vertical="center"/>
    </xf>
    <xf numFmtId="0" fontId="0" fillId="0" borderId="3" xfId="0" applyBorder="1">
      <alignment vertical="center"/>
    </xf>
    <xf numFmtId="9" fontId="0" fillId="0" borderId="3" xfId="0" applyNumberFormat="1" applyBorder="1">
      <alignment vertical="center"/>
    </xf>
    <xf numFmtId="9" fontId="0" fillId="9" borderId="3" xfId="0" applyNumberFormat="1" applyFill="1" applyBorder="1">
      <alignment vertical="center"/>
    </xf>
    <xf numFmtId="0" fontId="0" fillId="9" borderId="3" xfId="0" applyFill="1" applyBorder="1">
      <alignment vertical="center"/>
    </xf>
    <xf numFmtId="179" fontId="8" fillId="4" borderId="0" xfId="0" applyNumberFormat="1" applyFont="1" applyFill="1">
      <alignment vertical="center"/>
    </xf>
    <xf numFmtId="0" fontId="8" fillId="4" borderId="0" xfId="0" applyFont="1" applyFill="1">
      <alignment vertical="center"/>
    </xf>
    <xf numFmtId="179" fontId="8" fillId="6" borderId="0" xfId="0" applyNumberFormat="1" applyFont="1" applyFill="1">
      <alignment vertical="center"/>
    </xf>
    <xf numFmtId="0" fontId="8" fillId="6" borderId="0" xfId="0" applyFont="1" applyFill="1">
      <alignment vertical="center"/>
    </xf>
    <xf numFmtId="0" fontId="9" fillId="9" borderId="3" xfId="0" applyFont="1" applyFill="1" applyBorder="1">
      <alignment vertical="center"/>
    </xf>
    <xf numFmtId="0" fontId="9" fillId="0" borderId="3" xfId="0" applyFont="1" applyBorder="1">
      <alignment vertical="center"/>
    </xf>
    <xf numFmtId="0" fontId="2" fillId="9" borderId="3" xfId="0" applyFont="1" applyFill="1" applyBorder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>
      <alignment vertical="center"/>
    </xf>
    <xf numFmtId="176" fontId="0" fillId="0" borderId="0" xfId="0" applyNumberFormat="1">
      <alignment vertical="center"/>
    </xf>
    <xf numFmtId="179" fontId="0" fillId="0" borderId="0" xfId="0" applyNumberFormat="1">
      <alignment vertical="center"/>
    </xf>
    <xf numFmtId="9" fontId="0" fillId="0" borderId="3" xfId="0" applyNumberFormat="1" applyFont="1" applyBorder="1">
      <alignment vertical="center"/>
    </xf>
    <xf numFmtId="0" fontId="0" fillId="0" borderId="3" xfId="0" applyFont="1" applyBorder="1">
      <alignment vertical="center"/>
    </xf>
    <xf numFmtId="0" fontId="0" fillId="7" borderId="0" xfId="0" applyFont="1" applyFill="1">
      <alignment vertical="center"/>
    </xf>
    <xf numFmtId="0" fontId="1" fillId="6" borderId="0" xfId="0" applyFont="1" applyFill="1">
      <alignment vertical="center"/>
    </xf>
    <xf numFmtId="0" fontId="0" fillId="6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9" fontId="1" fillId="8" borderId="0" xfId="0" applyNumberFormat="1" applyFont="1" applyFill="1">
      <alignment vertical="center"/>
    </xf>
    <xf numFmtId="0" fontId="1" fillId="4" borderId="0" xfId="0" applyFont="1" applyFill="1">
      <alignment vertical="center"/>
    </xf>
    <xf numFmtId="179" fontId="1" fillId="6" borderId="0" xfId="0" applyNumberFormat="1" applyFont="1" applyFill="1">
      <alignment vertical="center"/>
    </xf>
    <xf numFmtId="179" fontId="6" fillId="4" borderId="0" xfId="0" applyNumberFormat="1" applyFont="1" applyFill="1">
      <alignment vertical="center"/>
    </xf>
    <xf numFmtId="178" fontId="7" fillId="4" borderId="0" xfId="0" applyNumberFormat="1" applyFont="1" applyFill="1">
      <alignment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Font="1" applyAlignment="1">
      <alignment vertical="center"/>
    </xf>
    <xf numFmtId="9" fontId="0" fillId="0" borderId="0" xfId="0" applyNumberFormat="1" applyFont="1">
      <alignment vertical="center"/>
    </xf>
    <xf numFmtId="179" fontId="14" fillId="0" borderId="0" xfId="0" applyNumberFormat="1" applyFont="1">
      <alignment vertical="center"/>
    </xf>
    <xf numFmtId="9" fontId="0" fillId="6" borderId="0" xfId="0" applyNumberFormat="1" applyFont="1" applyFill="1">
      <alignment vertical="center"/>
    </xf>
    <xf numFmtId="9" fontId="0" fillId="7" borderId="0" xfId="0" applyNumberFormat="1" applyFont="1" applyFill="1">
      <alignment vertical="center"/>
    </xf>
    <xf numFmtId="177" fontId="0" fillId="6" borderId="0" xfId="0" applyNumberFormat="1" applyFont="1" applyFill="1">
      <alignment vertical="center"/>
    </xf>
    <xf numFmtId="0" fontId="14" fillId="6" borderId="0" xfId="0" applyFont="1" applyFill="1">
      <alignment vertical="center"/>
    </xf>
    <xf numFmtId="0" fontId="15" fillId="6" borderId="0" xfId="0" applyFont="1" applyFill="1">
      <alignment vertical="center"/>
    </xf>
    <xf numFmtId="0" fontId="16" fillId="6" borderId="0" xfId="0" applyFont="1" applyFill="1">
      <alignment vertical="center"/>
    </xf>
    <xf numFmtId="9" fontId="0" fillId="2" borderId="0" xfId="0" applyNumberFormat="1" applyFont="1" applyFill="1">
      <alignment vertical="center"/>
    </xf>
    <xf numFmtId="0" fontId="14" fillId="6" borderId="0" xfId="0" applyNumberFormat="1" applyFont="1" applyFill="1" applyAlignment="1">
      <alignment vertical="center"/>
    </xf>
    <xf numFmtId="179" fontId="17" fillId="6" borderId="0" xfId="0" applyNumberFormat="1" applyFont="1" applyFill="1">
      <alignment vertical="center"/>
    </xf>
    <xf numFmtId="179" fontId="0" fillId="6" borderId="0" xfId="0" applyNumberFormat="1" applyFont="1" applyFill="1">
      <alignment vertical="center"/>
    </xf>
    <xf numFmtId="0" fontId="0" fillId="0" borderId="3" xfId="0" applyFont="1" applyBorder="1" applyAlignment="1">
      <alignment vertical="center"/>
    </xf>
    <xf numFmtId="0" fontId="0" fillId="6" borderId="0" xfId="0" applyNumberFormat="1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1" xfId="0" applyFont="1" applyBorder="1">
      <alignment vertical="center"/>
    </xf>
    <xf numFmtId="0" fontId="0" fillId="4" borderId="0" xfId="0" applyFont="1" applyFill="1">
      <alignment vertical="center"/>
    </xf>
    <xf numFmtId="0" fontId="0" fillId="0" borderId="2" xfId="0" applyFont="1" applyBorder="1">
      <alignment vertical="center"/>
    </xf>
    <xf numFmtId="177" fontId="14" fillId="4" borderId="0" xfId="0" applyNumberFormat="1" applyFont="1" applyFill="1">
      <alignment vertical="center"/>
    </xf>
    <xf numFmtId="0" fontId="0" fillId="8" borderId="0" xfId="0" applyFont="1" applyFill="1">
      <alignment vertical="center"/>
    </xf>
    <xf numFmtId="9" fontId="0" fillId="4" borderId="0" xfId="0" applyNumberFormat="1" applyFont="1" applyFill="1">
      <alignment vertical="center"/>
    </xf>
    <xf numFmtId="0" fontId="14" fillId="4" borderId="0" xfId="0" applyNumberFormat="1" applyFont="1" applyFill="1">
      <alignment vertical="center"/>
    </xf>
    <xf numFmtId="179" fontId="0" fillId="4" borderId="0" xfId="0" applyNumberFormat="1" applyFont="1" applyFill="1">
      <alignment vertical="center"/>
    </xf>
    <xf numFmtId="179" fontId="15" fillId="4" borderId="0" xfId="0" applyNumberFormat="1" applyFont="1" applyFill="1">
      <alignment vertical="center"/>
    </xf>
    <xf numFmtId="179" fontId="17" fillId="4" borderId="0" xfId="0" applyNumberFormat="1" applyFont="1" applyFill="1">
      <alignment vertical="center"/>
    </xf>
    <xf numFmtId="0" fontId="0" fillId="5" borderId="0" xfId="0" applyFont="1" applyFill="1">
      <alignment vertical="center"/>
    </xf>
    <xf numFmtId="0" fontId="0" fillId="4" borderId="0" xfId="0" applyNumberFormat="1" applyFont="1" applyFill="1" applyAlignment="1">
      <alignment horizontal="center" vertical="center" shrinkToFit="1"/>
    </xf>
    <xf numFmtId="0" fontId="14" fillId="4" borderId="0" xfId="0" applyNumberFormat="1" applyFont="1" applyFill="1" applyAlignment="1">
      <alignment vertical="center" shrinkToFit="1"/>
    </xf>
    <xf numFmtId="0" fontId="15" fillId="4" borderId="0" xfId="0" applyFont="1" applyFill="1">
      <alignment vertical="center"/>
    </xf>
    <xf numFmtId="0" fontId="0" fillId="4" borderId="0" xfId="0" applyNumberFormat="1" applyFont="1" applyFill="1" applyAlignment="1">
      <alignment horizontal="center" vertical="center"/>
    </xf>
    <xf numFmtId="0" fontId="0" fillId="3" borderId="0" xfId="0" applyFont="1" applyFill="1">
      <alignment vertical="center"/>
    </xf>
    <xf numFmtId="0" fontId="0" fillId="4" borderId="0" xfId="0" applyFont="1" applyFill="1" applyAlignment="1">
      <alignment horizontal="center" vertical="center"/>
    </xf>
    <xf numFmtId="0" fontId="16" fillId="0" borderId="0" xfId="0" applyFont="1">
      <alignment vertical="center"/>
    </xf>
    <xf numFmtId="178" fontId="14" fillId="2" borderId="0" xfId="0" applyNumberFormat="1" applyFont="1" applyFill="1">
      <alignment vertical="center"/>
    </xf>
    <xf numFmtId="0" fontId="0" fillId="9" borderId="3" xfId="0" applyFont="1" applyFill="1" applyBorder="1">
      <alignment vertical="center"/>
    </xf>
    <xf numFmtId="9" fontId="0" fillId="9" borderId="3" xfId="0" applyNumberFormat="1" applyFont="1" applyFill="1" applyBorder="1">
      <alignment vertical="center"/>
    </xf>
    <xf numFmtId="0" fontId="14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0" fillId="2" borderId="0" xfId="0" applyNumberFormat="1" applyFont="1" applyFill="1">
      <alignment vertical="center"/>
    </xf>
    <xf numFmtId="0" fontId="15" fillId="2" borderId="0" xfId="0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4" fillId="7" borderId="0" xfId="0" applyFont="1" applyFill="1">
      <alignment vertical="center"/>
    </xf>
    <xf numFmtId="9" fontId="0" fillId="11" borderId="0" xfId="0" applyNumberFormat="1" applyFont="1" applyFill="1">
      <alignment vertical="center"/>
    </xf>
    <xf numFmtId="0" fontId="14" fillId="11" borderId="0" xfId="0" applyFont="1" applyFill="1">
      <alignment vertical="center"/>
    </xf>
    <xf numFmtId="0" fontId="0" fillId="11" borderId="0" xfId="0" applyFont="1" applyFill="1" applyAlignment="1">
      <alignment horizontal="center" vertical="center"/>
    </xf>
    <xf numFmtId="0" fontId="14" fillId="3" borderId="0" xfId="0" applyFont="1" applyFill="1">
      <alignment vertical="center"/>
    </xf>
    <xf numFmtId="9" fontId="0" fillId="3" borderId="0" xfId="0" applyNumberFormat="1" applyFont="1" applyFill="1">
      <alignment vertical="center"/>
    </xf>
    <xf numFmtId="9" fontId="0" fillId="10" borderId="0" xfId="0" applyNumberFormat="1" applyFont="1" applyFill="1">
      <alignment vertical="center"/>
    </xf>
    <xf numFmtId="0" fontId="0" fillId="10" borderId="0" xfId="0" applyFont="1" applyFill="1">
      <alignment vertical="center"/>
    </xf>
    <xf numFmtId="0" fontId="14" fillId="10" borderId="0" xfId="0" applyFont="1" applyFill="1">
      <alignment vertical="center"/>
    </xf>
    <xf numFmtId="0" fontId="0" fillId="10" borderId="0" xfId="0" applyNumberFormat="1" applyFont="1" applyFill="1">
      <alignment vertical="center"/>
    </xf>
    <xf numFmtId="0" fontId="19" fillId="3" borderId="0" xfId="0" applyFont="1" applyFill="1">
      <alignment vertical="center"/>
    </xf>
    <xf numFmtId="0" fontId="0" fillId="10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4" fillId="8" borderId="0" xfId="0" applyFont="1" applyFill="1">
      <alignment vertical="center"/>
    </xf>
    <xf numFmtId="9" fontId="0" fillId="8" borderId="0" xfId="0" applyNumberFormat="1" applyFont="1" applyFill="1">
      <alignment vertical="center"/>
    </xf>
    <xf numFmtId="0" fontId="20" fillId="8" borderId="0" xfId="0" applyFont="1" applyFill="1">
      <alignment vertical="center"/>
    </xf>
    <xf numFmtId="0" fontId="20" fillId="9" borderId="3" xfId="0" applyFont="1" applyFill="1" applyBorder="1">
      <alignment vertical="center"/>
    </xf>
    <xf numFmtId="0" fontId="0" fillId="9" borderId="4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5" fillId="6" borderId="0" xfId="0" applyFont="1" applyFill="1">
      <alignment vertical="center"/>
    </xf>
    <xf numFmtId="179" fontId="21" fillId="6" borderId="0" xfId="0" applyNumberFormat="1" applyFont="1" applyFill="1">
      <alignment vertical="center"/>
    </xf>
    <xf numFmtId="179" fontId="0" fillId="6" borderId="0" xfId="0" applyNumberFormat="1" applyFill="1" applyAlignment="1">
      <alignment horizontal="center" vertical="center"/>
    </xf>
    <xf numFmtId="179" fontId="21" fillId="4" borderId="0" xfId="0" applyNumberFormat="1" applyFont="1" applyFill="1">
      <alignment vertical="center"/>
    </xf>
    <xf numFmtId="0" fontId="22" fillId="0" borderId="3" xfId="0" applyFont="1" applyBorder="1">
      <alignment vertical="center"/>
    </xf>
    <xf numFmtId="0" fontId="5" fillId="0" borderId="0" xfId="0" applyFont="1">
      <alignment vertical="center"/>
    </xf>
    <xf numFmtId="0" fontId="0" fillId="3" borderId="0" xfId="0" applyNumberFormat="1" applyFill="1">
      <alignment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99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以債作股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3643426010161782E-2"/>
          <c:y val="0.18193337118126704"/>
          <c:w val="0.78044830778815044"/>
          <c:h val="0.682305432824032"/>
        </c:manualLayout>
      </c:layout>
      <c:lineChart>
        <c:grouping val="standard"/>
        <c:varyColors val="0"/>
        <c:ser>
          <c:idx val="0"/>
          <c:order val="0"/>
          <c:tx>
            <c:v>上期已轉換比例0%</c:v>
          </c:tx>
          <c:marker>
            <c:symbol val="none"/>
          </c:marker>
          <c:cat>
            <c:numRef>
              <c:f>Sheet1!$B$1:$W$1</c:f>
              <c:numCache>
                <c:formatCode>0.000_ </c:formatCode>
                <c:ptCount val="22"/>
                <c:pt idx="0" formatCode="0.0_ ">
                  <c:v>0.8</c:v>
                </c:pt>
                <c:pt idx="1">
                  <c:v>0.80100000000000005</c:v>
                </c:pt>
                <c:pt idx="2">
                  <c:v>0.80200000000000005</c:v>
                </c:pt>
                <c:pt idx="3">
                  <c:v>0.80200000000000005</c:v>
                </c:pt>
                <c:pt idx="4">
                  <c:v>0.80300000000000005</c:v>
                </c:pt>
                <c:pt idx="5">
                  <c:v>0.80400000000000005</c:v>
                </c:pt>
                <c:pt idx="6">
                  <c:v>0.80500000000000005</c:v>
                </c:pt>
                <c:pt idx="7">
                  <c:v>0.80600000000000005</c:v>
                </c:pt>
                <c:pt idx="8">
                  <c:v>0.80700000000000005</c:v>
                </c:pt>
                <c:pt idx="9">
                  <c:v>0.80800000000000005</c:v>
                </c:pt>
                <c:pt idx="10">
                  <c:v>0.80900000000000005</c:v>
                </c:pt>
                <c:pt idx="11">
                  <c:v>0.81</c:v>
                </c:pt>
                <c:pt idx="12">
                  <c:v>0.82</c:v>
                </c:pt>
                <c:pt idx="13">
                  <c:v>0.83</c:v>
                </c:pt>
                <c:pt idx="14">
                  <c:v>0.84</c:v>
                </c:pt>
                <c:pt idx="15">
                  <c:v>0.85</c:v>
                </c:pt>
                <c:pt idx="16">
                  <c:v>0.86</c:v>
                </c:pt>
                <c:pt idx="17">
                  <c:v>0.87</c:v>
                </c:pt>
                <c:pt idx="18">
                  <c:v>0.88</c:v>
                </c:pt>
                <c:pt idx="19">
                  <c:v>0.89</c:v>
                </c:pt>
                <c:pt idx="20">
                  <c:v>0.9</c:v>
                </c:pt>
                <c:pt idx="21">
                  <c:v>1</c:v>
                </c:pt>
              </c:numCache>
            </c:numRef>
          </c:cat>
          <c:val>
            <c:numRef>
              <c:f>Sheet1!$B$2:$W$2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20.084755468903758</c:v>
                </c:pt>
                <c:pt idx="11">
                  <c:v>20.026317226116404</c:v>
                </c:pt>
                <c:pt idx="12">
                  <c:v>19.445406340389347</c:v>
                </c:pt>
                <c:pt idx="13">
                  <c:v>18.870734917894275</c:v>
                </c:pt>
                <c:pt idx="14">
                  <c:v>18.302201228252407</c:v>
                </c:pt>
                <c:pt idx="15">
                  <c:v>17.739705740660725</c:v>
                </c:pt>
                <c:pt idx="16">
                  <c:v>17.183151064763575</c:v>
                </c:pt>
                <c:pt idx="17">
                  <c:v>16.632441893421475</c:v>
                </c:pt>
                <c:pt idx="18">
                  <c:v>16.087484947306418</c:v>
                </c:pt>
                <c:pt idx="19">
                  <c:v>15.548188921256072</c:v>
                </c:pt>
                <c:pt idx="20">
                  <c:v>15.014464432322045</c:v>
                </c:pt>
                <c:pt idx="21">
                  <c:v>9.9652680118954926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4272"/>
        <c:axId val="98450048"/>
      </c:lineChart>
      <c:catAx>
        <c:axId val="3494272"/>
        <c:scaling>
          <c:orientation val="minMax"/>
        </c:scaling>
        <c:delete val="0"/>
        <c:axPos val="b"/>
        <c:numFmt formatCode="0.0_ " sourceLinked="1"/>
        <c:majorTickMark val="none"/>
        <c:minorTickMark val="none"/>
        <c:tickLblPos val="nextTo"/>
        <c:crossAx val="98450048"/>
        <c:crosses val="autoZero"/>
        <c:auto val="1"/>
        <c:lblAlgn val="ctr"/>
        <c:lblOffset val="100"/>
        <c:noMultiLvlLbl val="0"/>
      </c:catAx>
      <c:valAx>
        <c:axId val="984500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494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380998</xdr:colOff>
      <xdr:row>3</xdr:row>
      <xdr:rowOff>152401</xdr:rowOff>
    </xdr:from>
    <xdr:to>
      <xdr:col>20</xdr:col>
      <xdr:colOff>38099</xdr:colOff>
      <xdr:row>20</xdr:row>
      <xdr:rowOff>142875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0.01043</cdr:x>
      <cdr:y>0.04389</cdr:y>
    </cdr:from>
    <cdr:to>
      <cdr:x>0.17288</cdr:x>
      <cdr:y>0.11599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66676" y="133351"/>
          <a:ext cx="10382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zh-TW" sz="1100"/>
            <a:t>CB</a:t>
          </a:r>
          <a:r>
            <a:rPr lang="zh-TW" altLang="en-US" sz="1100"/>
            <a:t>  </a:t>
          </a:r>
          <a:r>
            <a:rPr lang="en-US" altLang="zh-TW" sz="1100"/>
            <a:t>Value</a:t>
          </a:r>
          <a:endParaRPr lang="zh-TW" altLang="en-US" sz="1100"/>
        </a:p>
      </cdr:txBody>
    </cdr:sp>
  </cdr:relSizeAnchor>
  <cdr:relSizeAnchor xmlns:cdr="http://schemas.openxmlformats.org/drawingml/2006/chartDrawing">
    <cdr:from>
      <cdr:x>0.84921</cdr:x>
      <cdr:y>0.86207</cdr:y>
    </cdr:from>
    <cdr:to>
      <cdr:x>0.98808</cdr:x>
      <cdr:y>0.96238</cdr:y>
    </cdr:to>
    <cdr:sp macro="" textlink="">
      <cdr:nvSpPr>
        <cdr:cNvPr id="3" name="文字方塊 2"/>
        <cdr:cNvSpPr txBox="1"/>
      </cdr:nvSpPr>
      <cdr:spPr>
        <a:xfrm xmlns:a="http://schemas.openxmlformats.org/drawingml/2006/main">
          <a:off x="6115053" y="2619376"/>
          <a:ext cx="999996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zh-TW" altLang="en-US" sz="1100"/>
            <a:t>當期已轉換比例</a:t>
          </a:r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"/>
  <sheetViews>
    <sheetView topLeftCell="AE1" zoomScale="64" zoomScaleNormal="64" workbookViewId="0">
      <selection activeCell="AM11" sqref="AM11"/>
    </sheetView>
  </sheetViews>
  <sheetFormatPr defaultRowHeight="16.5" x14ac:dyDescent="0.25"/>
  <cols>
    <col min="3" max="3" width="9.125" bestFit="1" customWidth="1"/>
    <col min="7" max="7" width="12.125" bestFit="1" customWidth="1"/>
    <col min="9" max="9" width="9.5" customWidth="1"/>
    <col min="10" max="14" width="10" bestFit="1" customWidth="1"/>
    <col min="15" max="15" width="15" bestFit="1" customWidth="1"/>
    <col min="16" max="16" width="12" customWidth="1"/>
    <col min="18" max="18" width="13.375" bestFit="1" customWidth="1"/>
    <col min="23" max="23" width="9.625" bestFit="1" customWidth="1"/>
    <col min="31" max="31" width="9.5" bestFit="1" customWidth="1"/>
  </cols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72</v>
      </c>
      <c r="M1" s="26" t="s">
        <v>71</v>
      </c>
      <c r="N1" t="s">
        <v>70</v>
      </c>
      <c r="O1" t="s">
        <v>69</v>
      </c>
      <c r="P1" s="26" t="s">
        <v>68</v>
      </c>
      <c r="Q1" t="s">
        <v>67</v>
      </c>
    </row>
    <row r="2" spans="1:54" x14ac:dyDescent="0.25">
      <c r="A2">
        <v>100</v>
      </c>
      <c r="B2">
        <v>100</v>
      </c>
      <c r="C2">
        <v>0.2</v>
      </c>
      <c r="D2">
        <v>0.08</v>
      </c>
      <c r="E2">
        <v>0.05</v>
      </c>
      <c r="G2">
        <v>0.46</v>
      </c>
      <c r="H2">
        <f>EXP(G2*SQRT(N2))</f>
        <v>1.5840739849944818</v>
      </c>
      <c r="I2">
        <f>1/H2</f>
        <v>0.63128364550692595</v>
      </c>
      <c r="J2">
        <f>(EXP(M2*N2)-I2)/(H2-I2)</f>
        <v>0.451886299844308</v>
      </c>
      <c r="K2">
        <f>1-J2</f>
        <v>0.54811370015569194</v>
      </c>
      <c r="L2">
        <v>1</v>
      </c>
      <c r="M2" s="26">
        <v>0.06</v>
      </c>
      <c r="N2">
        <v>1</v>
      </c>
      <c r="O2">
        <v>0.2</v>
      </c>
      <c r="P2" s="26">
        <f>$A$2+$A$2*$D$2*$N$2</f>
        <v>108</v>
      </c>
      <c r="Q2">
        <f>P2*EXP(-$M$2*$N$2)+$A$2*$D$2*$N$2</f>
        <v>109.71056962709886</v>
      </c>
    </row>
    <row r="3" spans="1:54" x14ac:dyDescent="0.25">
      <c r="A3" s="147" t="s">
        <v>66</v>
      </c>
      <c r="B3" s="147"/>
      <c r="C3" s="147"/>
      <c r="D3" s="147"/>
      <c r="E3" s="21"/>
      <c r="F3" s="21"/>
    </row>
    <row r="4" spans="1:54" x14ac:dyDescent="0.25">
      <c r="A4" s="3"/>
      <c r="B4" t="s">
        <v>65</v>
      </c>
      <c r="C4" t="s">
        <v>64</v>
      </c>
      <c r="D4" t="s">
        <v>63</v>
      </c>
    </row>
    <row r="5" spans="1:54" x14ac:dyDescent="0.25">
      <c r="A5" s="3">
        <v>0</v>
      </c>
      <c r="B5">
        <v>0</v>
      </c>
      <c r="C5" s="27">
        <f t="shared" ref="C5:C11" si="0">$A$2*(1-$C$2)*$D$2*$N$2+$B$2*(1-A5)*(1-$C$2)*$E$2*$N$2</f>
        <v>10.4</v>
      </c>
      <c r="D5" s="26">
        <f t="shared" ref="D5:D11" si="1">$A$2+$B$2*(1-A5)+$A$2*(1-$C$2)*$D$2*$N$2+$B$2*(1-A5)*(1-$C$2)*$E$2*$N$2</f>
        <v>210.4</v>
      </c>
    </row>
    <row r="6" spans="1:54" x14ac:dyDescent="0.25">
      <c r="A6" s="3">
        <v>0.2</v>
      </c>
      <c r="B6">
        <v>0</v>
      </c>
      <c r="C6" s="27">
        <f t="shared" si="0"/>
        <v>9.6000000000000014</v>
      </c>
      <c r="D6" s="26">
        <f t="shared" si="1"/>
        <v>189.6</v>
      </c>
    </row>
    <row r="7" spans="1:54" x14ac:dyDescent="0.25">
      <c r="A7" s="3">
        <v>0.4</v>
      </c>
      <c r="B7">
        <v>0</v>
      </c>
      <c r="C7" s="27">
        <f t="shared" si="0"/>
        <v>8.8000000000000007</v>
      </c>
      <c r="D7" s="26">
        <f t="shared" si="1"/>
        <v>168.8</v>
      </c>
    </row>
    <row r="8" spans="1:54" x14ac:dyDescent="0.25">
      <c r="A8" s="3">
        <v>0.6</v>
      </c>
      <c r="B8">
        <v>0</v>
      </c>
      <c r="C8" s="27">
        <f t="shared" si="0"/>
        <v>8</v>
      </c>
      <c r="D8" s="26">
        <f t="shared" si="1"/>
        <v>148</v>
      </c>
    </row>
    <row r="9" spans="1:54" x14ac:dyDescent="0.25">
      <c r="A9" s="3">
        <v>0.8</v>
      </c>
      <c r="B9">
        <v>0</v>
      </c>
      <c r="C9" s="27">
        <f t="shared" si="0"/>
        <v>7.2</v>
      </c>
      <c r="D9" s="26">
        <f t="shared" si="1"/>
        <v>127.2</v>
      </c>
      <c r="G9" t="s">
        <v>62</v>
      </c>
      <c r="H9" t="s">
        <v>59</v>
      </c>
      <c r="I9" s="33">
        <f>($J$2*N$18+$K$2*I26)*EXP(-$M$2*$N$2)+$A$2*$D$2</f>
        <v>109.71056962709886</v>
      </c>
      <c r="J9" s="33">
        <f>($J$2*N$18+$K$2*J26)*EXP(-$M$2*$N$2)+$A$2*$D$2</f>
        <v>109.71056962709886</v>
      </c>
      <c r="K9" s="33">
        <f>($J$2*N$18+$K$2*K26)*EXP(-$M$2*$N$2)+$A$2*$D$2</f>
        <v>109.71056962709886</v>
      </c>
      <c r="L9" s="33">
        <f>($J$2*N$18+$K$2*L26)*EXP(-$M$2*$N$2)+$A$2*$D$2</f>
        <v>109.71056962709886</v>
      </c>
      <c r="M9" s="33">
        <f>($J$2*N$18+$K$2*M26)*EXP(-$M$2*$N$2)+$A$2*$D$2</f>
        <v>109.71056962709886</v>
      </c>
      <c r="N9" s="33">
        <f>($J$2*N$18+$K$2*N26)*EXP(-$M$2*$N$2)+$A$2*$D$2</f>
        <v>109.71056962709886</v>
      </c>
      <c r="Y9" s="147" t="s">
        <v>111</v>
      </c>
      <c r="Z9" s="147"/>
      <c r="AA9" s="147"/>
      <c r="AB9" s="147"/>
      <c r="AC9" s="147"/>
      <c r="AE9" t="s">
        <v>55</v>
      </c>
      <c r="AF9" s="26" t="s">
        <v>59</v>
      </c>
      <c r="AG9" s="26">
        <f>($J$2*I$26+$K$2*N$34)*EXP(-$M$2*$N$2)+$A$2*$D$2</f>
        <v>109.71056962709886</v>
      </c>
      <c r="AH9" s="26">
        <f>($J$2*J$26+$K$2*N$34)*EXP(-$M$2*$N$2)+$A$2*$D$2</f>
        <v>109.71056962709886</v>
      </c>
      <c r="AI9" s="26">
        <f>($J$2*K$26+$K$2*N$34)*EXP(-$M$2*$N$2)+$A$2*$D$2</f>
        <v>109.71056962709886</v>
      </c>
      <c r="AJ9" s="26">
        <f>($J$2*L$26+$K$2*N$34)*EXP(-$M$2*$N$2)+$A$2*$D$2</f>
        <v>109.71056962709886</v>
      </c>
      <c r="AK9" s="26">
        <f>($J$2*M$26+$K$2*N$34)*EXP(-$M$2*$N$2)+$A$2*$D$2</f>
        <v>109.71056962709886</v>
      </c>
      <c r="AL9" s="26">
        <f>($J$2*N$26+$K$2*N$34)*EXP(-$M$2*$N$2)+$A$2*$D$2</f>
        <v>109.71056962709886</v>
      </c>
      <c r="AW9" s="147" t="s">
        <v>110</v>
      </c>
      <c r="AX9" s="147"/>
      <c r="AY9" s="147"/>
      <c r="AZ9" s="147"/>
      <c r="BA9" s="147"/>
    </row>
    <row r="10" spans="1:54" x14ac:dyDescent="0.25">
      <c r="A10" s="3">
        <v>1</v>
      </c>
      <c r="B10">
        <v>0</v>
      </c>
      <c r="C10" s="27">
        <f t="shared" si="0"/>
        <v>6.4</v>
      </c>
      <c r="D10" s="26">
        <f t="shared" si="1"/>
        <v>106.4</v>
      </c>
      <c r="G10" s="6"/>
      <c r="H10" s="8" t="s">
        <v>58</v>
      </c>
      <c r="I10" s="8">
        <v>0</v>
      </c>
      <c r="J10" s="8">
        <v>0.2</v>
      </c>
      <c r="K10" s="8">
        <v>0.4</v>
      </c>
      <c r="L10" s="8">
        <v>0.6</v>
      </c>
      <c r="M10" s="8">
        <v>0.8</v>
      </c>
      <c r="N10" s="8">
        <v>1</v>
      </c>
      <c r="O10" s="8" t="s">
        <v>57</v>
      </c>
      <c r="P10" s="8">
        <v>0</v>
      </c>
      <c r="Q10" s="8">
        <v>0.2</v>
      </c>
      <c r="R10" s="8">
        <v>0.4</v>
      </c>
      <c r="S10" s="8">
        <v>0.6</v>
      </c>
      <c r="T10" s="8">
        <v>0.8</v>
      </c>
      <c r="U10" s="8">
        <v>1</v>
      </c>
      <c r="V10" s="6" t="s">
        <v>56</v>
      </c>
      <c r="W10" s="6"/>
      <c r="X10" s="6" t="s">
        <v>55</v>
      </c>
      <c r="Y10" s="8">
        <v>0</v>
      </c>
      <c r="Z10" s="8">
        <v>0.2</v>
      </c>
      <c r="AA10" s="8">
        <v>0.4</v>
      </c>
      <c r="AB10" s="8">
        <v>0.6</v>
      </c>
      <c r="AC10" s="8">
        <v>0.8</v>
      </c>
      <c r="AD10" s="8">
        <v>1</v>
      </c>
      <c r="AE10" s="9" t="s">
        <v>59</v>
      </c>
      <c r="AF10" s="10" t="s">
        <v>58</v>
      </c>
      <c r="AG10" s="10">
        <v>0</v>
      </c>
      <c r="AH10" s="10">
        <v>0.2</v>
      </c>
      <c r="AI10" s="10">
        <v>0.4</v>
      </c>
      <c r="AJ10" s="10">
        <v>0.6</v>
      </c>
      <c r="AK10" s="10">
        <v>0.8</v>
      </c>
      <c r="AL10" s="10">
        <v>1</v>
      </c>
      <c r="AM10" s="10" t="s">
        <v>57</v>
      </c>
      <c r="AN10" s="10">
        <v>0</v>
      </c>
      <c r="AO10" s="10">
        <v>0.2</v>
      </c>
      <c r="AP10" s="10">
        <v>0.4</v>
      </c>
      <c r="AQ10" s="10">
        <v>0.6</v>
      </c>
      <c r="AR10" s="10">
        <v>0.8</v>
      </c>
      <c r="AS10" s="10">
        <v>1</v>
      </c>
      <c r="AT10" s="9" t="s">
        <v>56</v>
      </c>
      <c r="AU10" s="9"/>
      <c r="AV10" s="9" t="s">
        <v>55</v>
      </c>
      <c r="AW10" s="10">
        <v>0</v>
      </c>
      <c r="AX10" s="10">
        <v>0.2</v>
      </c>
      <c r="AY10" s="10">
        <v>0.4</v>
      </c>
      <c r="AZ10" s="10">
        <v>0.6</v>
      </c>
      <c r="BA10" s="10">
        <v>0.8</v>
      </c>
      <c r="BB10" s="10">
        <v>1</v>
      </c>
    </row>
    <row r="11" spans="1:54" x14ac:dyDescent="0.25">
      <c r="A11" s="3">
        <v>0.84</v>
      </c>
      <c r="C11" s="27">
        <f t="shared" si="0"/>
        <v>7.0400000000000009</v>
      </c>
      <c r="D11" s="26">
        <f t="shared" si="1"/>
        <v>123.04</v>
      </c>
      <c r="H11" s="8">
        <v>0</v>
      </c>
      <c r="I11" s="6">
        <f>($J$2*N20+$K$2*I28)*EXP(-$M$2*$N$2)+$B$2*(1-I10)*$E$2</f>
        <v>202.08141542563311</v>
      </c>
      <c r="J11" s="6">
        <f>($J$2*N21+$K$2*J29)*EXP(-$M$2*$N$2)+$B$2*(1-J10)*$E$2</f>
        <v>161.66513234050646</v>
      </c>
      <c r="K11" s="6">
        <f>($J$2*N22+$K$2*K30)*EXP(-$M$2*$N$2)+$B$2*(1-K10)*$E$2</f>
        <v>121.24884925537987</v>
      </c>
      <c r="L11" s="6">
        <f>($J$2*N23+$K$2*L31)*EXP(-$M$2*$N$2)+$B$2*(1-L10)*$E$2</f>
        <v>80.83256617025323</v>
      </c>
      <c r="M11" s="6">
        <f>($J$2*N24+$K$2*M32)*EXP(-$M$2*$N$2)+$B$2*(1-M10)*$E$2</f>
        <v>40.416283085126608</v>
      </c>
      <c r="N11" s="6">
        <f>($J$2*N25+$K$2*N33)*EXP(-$M$2*$N$2)+$B$2*(1-N10)*$E$2</f>
        <v>0</v>
      </c>
      <c r="O11" s="8">
        <v>0</v>
      </c>
      <c r="P11" s="34">
        <f>MAX(($W25*(1+L2*P10)*$J$2+$W28*(1+L2*P10)*$K$2)*EXP(-$M$2*$N$2)-$A$2*$D$2*(1-$C$2)-$B$2*$E$2*(1-P10)*(1-$C$2),0)</f>
        <v>183.89396759247046</v>
      </c>
      <c r="Q11" s="34">
        <f>MAX(($W25*(1+L2*Q10)*$J$2+W29*(1+L2*Q10)*$K$2)*EXP(-$M$2*$N$2)-$A$2*$D$2*(1-$C$2)-$B$2*$E$2*(1-Q10)*(1-$C$2),0)</f>
        <v>224.00701186896143</v>
      </c>
      <c r="R11" s="34">
        <f>MAX(($W25*(1+L2*R10)*$J$2+W30*(1+L2*R10)*$K$2)*EXP(-$M$2*$N$2)-$A$2*$D$2*(1-$C$2)-$B$2*$E$2*(1-R10)*(1-$C$2),0)</f>
        <v>264.12005614545239</v>
      </c>
      <c r="S11" s="34">
        <f>MAX(($W25*(1+L2*S10)*$J$2+W31*(1+L2*S10)*$K$2)*EXP(-$M$2*$N$2)-$A$2*$D$2*(1-$C$2)-$B$2*$E$2*(1-S10)*(1-$C$2),0)</f>
        <v>304.23310042194339</v>
      </c>
      <c r="T11" s="34">
        <f>MAX(($W25*(1+L2*T10)*$J$2+$W32*(1+L2*T10)*$K$2)*EXP(-$M$2*$N$2)-$A$2*$D$2*(1-$C$2)-$B$2*$E$2*(1-T10)*(1-$C$2),0)</f>
        <v>344.34614469843433</v>
      </c>
      <c r="U11" s="34">
        <f>MAX(($W25*(1+L2*U10)*$J$2+$W33*(1+L2*U10)*$K$2)*EXP(-$M$2*$N$2)-$A$2*$D$2*(1-$C$2)-$B$2*$E$2*(1-U10)*(1-$C$2),0)</f>
        <v>384.45918897492533</v>
      </c>
      <c r="V11" s="8">
        <v>0</v>
      </c>
      <c r="W11" s="6">
        <f>P11/(1+V11*$L$2)</f>
        <v>183.89396759247046</v>
      </c>
      <c r="X11" s="8">
        <v>0</v>
      </c>
      <c r="Y11" s="69">
        <f>I11+(Y10-$X$11)*$L$2*W11</f>
        <v>202.08141542563311</v>
      </c>
      <c r="Z11" s="68">
        <f>J11+(Z10-$X$11)*$L$2*W12</f>
        <v>198.99963431866669</v>
      </c>
      <c r="AA11" s="41">
        <f>K11+(AA10-$X$11)*$L$2*W13</f>
        <v>196.71172243979487</v>
      </c>
      <c r="AB11" s="41">
        <f>L11+(AB10-$X$11)*$L$2*W14</f>
        <v>194.91997882848199</v>
      </c>
      <c r="AC11" s="41">
        <f>M11+(AC10-$X$11)*$L$2*W15</f>
        <v>193.45901406220855</v>
      </c>
      <c r="AD11" s="41">
        <f>N11+(AD10-$X$11)*$L$2*W16</f>
        <v>192.22959448746266</v>
      </c>
      <c r="AE11" s="11"/>
      <c r="AF11" s="10">
        <v>0</v>
      </c>
      <c r="AG11" s="37">
        <f>(I28*$J$2+N36*$K$2)*EXP(-$M$2*$N$2)+$B$2*(1-AG10)*$E$2</f>
        <v>58.475001052401538</v>
      </c>
      <c r="AH11" s="9">
        <f>(J29*$J$2+N37*$K$2)*EXP(-$M$2*$N$2)+$B$2*(1-AH10)*$E$2</f>
        <v>48.509916079023888</v>
      </c>
      <c r="AI11" s="9">
        <f>(K30*$J$2+N38*$K$2)*EXP(-$M$2*$N$2)+$B$2*(1-AI10)*$E$2</f>
        <v>38.544831105646225</v>
      </c>
      <c r="AJ11" s="9">
        <f>(L31*$J$2+N39*$K$2)*EXP(-$M$2*$N$2)+$B$2*(1-AJ10)*$E$2</f>
        <v>28.579746132268568</v>
      </c>
      <c r="AK11" s="9">
        <f>(M32*$J$2+N40*$K$2)*EXP(-$M$2*$N$2)+$B$2*(1-AK10)*$E$2</f>
        <v>18.614661158890911</v>
      </c>
      <c r="AL11" s="9">
        <f>(N33*$J$2+N42*$K$2)*EXP(-$M$2*$N$2)+$B$2*(1-AL10)*$E$2</f>
        <v>0</v>
      </c>
      <c r="AM11" s="10">
        <v>0</v>
      </c>
      <c r="AN11" s="35">
        <f>MAX(($W28*(1+L2*AN10)*$J$2+Y41*(1+L2*AN10)*$K$2)*EXP(-$M$2*$N$2)-$A$2*$D$2*(1-$C$2)-$B$2*$E$2*(1-AN10)*(1-$C$2),0)</f>
        <v>32.12734421869596</v>
      </c>
      <c r="AO11" s="35">
        <f>MAX(($W29*(1+L2*AO10)*$J$2+$Y41*(1+L2*AO10)*$K$2)*EXP(-$M$2*$N$2)-$A$2*$D$2*(1-$C$2)-$B$2*$E$2*(1-AO10)*(1-$C$2),0)</f>
        <v>41.807315093992408</v>
      </c>
      <c r="AP11" s="35">
        <f>MAX(($W30*(1+L2*AP10)*$J$2+$Y41*(1+L2*AP10)*$K$2)*EXP(-$M$2*$N$2)-$A$2*$D$2*(1-$C$2)-$B$2*$E$2*(1-AP10)*(1-$C$2),0)</f>
        <v>51.487285969288877</v>
      </c>
      <c r="AQ11" s="35">
        <f>MAX(($W31*(1+L2*AQ10)*$J$2+$Y41*(1+L2*AQ10)*$K$2)*EXP(-$M$2*$N$2)-$A$2*$D$2*(1-$C$2)-$B$2*$E$2*(1-AQ10)*(1-$C$2),0)</f>
        <v>61.167256844585324</v>
      </c>
      <c r="AR11" s="35">
        <f>MAX(($W32*(1+L2*AR10)*$J$2+$Y41*(1+L2*AR10)*$K$2)*EXP(-$M$2*$N$2)-$A$2*$D$2*(1-$C$2)-$B$2*$E$2*(1-AR10)*(1-$C$2),0)</f>
        <v>70.847227719881772</v>
      </c>
      <c r="AS11" s="35">
        <f>MAX(($W33*(1+L2*AS10)*$J$2+$Y41*(1+L2*AS10)*$K$2)*EXP(-$M$2*$N$2)-$A$2*$D$2*(1-$C$2)-$B$2*$E$2*(1-AS10)*(1-$C$2),0)</f>
        <v>80.527198595178248</v>
      </c>
      <c r="AT11" s="10">
        <v>0</v>
      </c>
      <c r="AU11" s="9">
        <f>AN11/(1+$L$2*AT11)</f>
        <v>32.12734421869596</v>
      </c>
      <c r="AV11" s="10">
        <v>0</v>
      </c>
      <c r="AW11" s="24">
        <f>AG11+(AW10-$AV$11)*$L$2*AU11</f>
        <v>58.475001052401538</v>
      </c>
      <c r="AX11" s="67">
        <f>AH11+(AX10-$AV$11)*$L$2*AU12</f>
        <v>55.477801928022622</v>
      </c>
      <c r="AY11" s="67">
        <f>AI11+(AY10-$AV$11)*$L$2*AU13</f>
        <v>53.255484239728759</v>
      </c>
      <c r="AZ11" s="67">
        <f>AJ11+(AZ10-$AV$11)*$L$2*AU14</f>
        <v>51.517467448988064</v>
      </c>
      <c r="BA11" s="67">
        <f>AK11+(BA10-$AV$11)*$L$2*AU15</f>
        <v>50.102317923282811</v>
      </c>
      <c r="BB11" s="67">
        <f>AL11+(BB10-$AV$11)*$L$2*AU16</f>
        <v>40.263599297589124</v>
      </c>
    </row>
    <row r="12" spans="1:54" x14ac:dyDescent="0.25">
      <c r="E12" s="4">
        <f>C14*H2</f>
        <v>777.88002088025235</v>
      </c>
      <c r="G12" s="8"/>
      <c r="H12" s="8">
        <v>0.2</v>
      </c>
      <c r="I12" s="6"/>
      <c r="J12" s="6">
        <f>($J$2*N21+$K$2*J29)*EXP(-$M$2*$N$2)+$B$2*(1-J10)*$E$2</f>
        <v>161.66513234050646</v>
      </c>
      <c r="K12" s="6">
        <f>($J$2*N22+$K$2*K30)*EXP(-$M$2*$N$2)+$B$2*(1-K10)*$E$2</f>
        <v>121.24884925537987</v>
      </c>
      <c r="L12" s="6">
        <f>($J$2*N23+$K$2*L31)*EXP(-$M$2*$N$2)+$B$2*(1-L10)*$E$2</f>
        <v>80.83256617025323</v>
      </c>
      <c r="M12" s="6">
        <f>($J$2*N24+$K$2*M32)*EXP(-$M$2*$N$2)+$B$2*(1-M10)*$E$2</f>
        <v>40.416283085126608</v>
      </c>
      <c r="N12" s="6">
        <f>($J$2*N25+$K$2*N33)*EXP(-$M$2*$N$2)+$B$2*(1-N10)*$E$2</f>
        <v>0</v>
      </c>
      <c r="O12" s="8">
        <v>0.2</v>
      </c>
      <c r="P12" s="148" t="s">
        <v>77</v>
      </c>
      <c r="Q12" s="148"/>
      <c r="R12" s="148"/>
      <c r="S12" s="148"/>
      <c r="T12" s="148"/>
      <c r="U12" s="148"/>
      <c r="V12" s="8">
        <v>0.2</v>
      </c>
      <c r="W12" s="6">
        <f>Q11/(1+V12*$L$2)</f>
        <v>186.67250989080119</v>
      </c>
      <c r="X12" s="8">
        <v>0.2</v>
      </c>
      <c r="Y12" s="66"/>
      <c r="Z12" s="23">
        <f>J12+(Z10-$X$12)*$L$2*W12</f>
        <v>161.66513234050646</v>
      </c>
      <c r="AA12" s="19">
        <f>K12+(AA10-$X$12)*$L$2*W13</f>
        <v>158.98028584758737</v>
      </c>
      <c r="AB12" s="19">
        <f>L12+(AB10-$X$12)*$L$2*W14</f>
        <v>156.89084127573909</v>
      </c>
      <c r="AC12" s="19">
        <f>M12+(AC10-$X$12)*$L$2*W15</f>
        <v>155.19833131793808</v>
      </c>
      <c r="AD12" s="19">
        <f>N12+(AD10-$X$12)*$L$2*W16</f>
        <v>153.78367558997013</v>
      </c>
      <c r="AE12" s="10"/>
      <c r="AF12" s="10">
        <v>0.2</v>
      </c>
      <c r="AG12" s="9"/>
      <c r="AH12" s="9">
        <f>(J29*$J$2+N37*$K$2)*EXP(-$M$2*$N$2)+$B$2*(1-AH10)*$E$2</f>
        <v>48.509916079023888</v>
      </c>
      <c r="AI12" s="9">
        <f>(K30*$J$2+N38*$K$2)*EXP(-$M$2*$N$2)+$B$2*(1-AI10)*$E$2</f>
        <v>38.544831105646225</v>
      </c>
      <c r="AJ12" s="9">
        <f>(L31*$J$2+N39*$K$2)*EXP(-$M$2*$N$2)+$B$2*(1-AJ10)*$E$2</f>
        <v>28.579746132268568</v>
      </c>
      <c r="AK12" s="9">
        <f>(M32*$J$2+N40*$K$2)*EXP(-$M$2*$N$2)+$B$2*(1-AK10)*$E$2</f>
        <v>18.614661158890911</v>
      </c>
      <c r="AL12" s="9">
        <f>(N33*$J$2+N42*$K$2)*EXP(-$M$2*$N$2)+$B$2*(1-AL10)*$E$2</f>
        <v>0</v>
      </c>
      <c r="AM12" s="10">
        <v>0.2</v>
      </c>
      <c r="AN12" s="146" t="s">
        <v>77</v>
      </c>
      <c r="AO12" s="146"/>
      <c r="AP12" s="146"/>
      <c r="AQ12" s="146"/>
      <c r="AR12" s="146"/>
      <c r="AS12" s="146"/>
      <c r="AT12" s="10">
        <v>0.2</v>
      </c>
      <c r="AU12" s="9">
        <f>AO11/(1+$L$2*AT12)</f>
        <v>34.839429244993674</v>
      </c>
      <c r="AV12" s="10">
        <v>0.2</v>
      </c>
      <c r="AW12" s="61"/>
      <c r="AX12" s="24">
        <f>AH12+(AX10-$AV$12)*$L$2*AU12</f>
        <v>48.509916079023888</v>
      </c>
      <c r="AY12" s="67">
        <f>AI12+(AY10-$AV$12)*$L$2*AU13</f>
        <v>45.900157672687492</v>
      </c>
      <c r="AZ12" s="67">
        <f>AJ12+(AZ10-$AV$12)*$L$2*AU14</f>
        <v>43.871560343414899</v>
      </c>
      <c r="BA12" s="67">
        <f>AK12+(BA10-$AV$12)*$L$2*AU15</f>
        <v>42.23040373218484</v>
      </c>
      <c r="BB12" s="67">
        <f>AL12+(BB10-$AV$12)*$L$2*AU16</f>
        <v>32.210879438071302</v>
      </c>
    </row>
    <row r="13" spans="1:54" x14ac:dyDescent="0.25">
      <c r="D13" s="1"/>
      <c r="G13" s="8"/>
      <c r="H13" s="8">
        <v>0.4</v>
      </c>
      <c r="I13" s="6"/>
      <c r="J13" s="6"/>
      <c r="K13" s="6">
        <f>($J$2*N22+$K$2*K30)*EXP(-$M$2*$N$2)+$B$2*(1-K10)*$E$2</f>
        <v>121.24884925537987</v>
      </c>
      <c r="L13" s="6">
        <f>($J$2*N23+$K$2*L31)*EXP(-$M$2*$N$2)+$B$2*(1-L10)*$E$2</f>
        <v>80.83256617025323</v>
      </c>
      <c r="M13" s="6">
        <f>($J$2*N24+$K$2*M32)*EXP(-$M$2*$N$2)+$B$2*(1-M10)*$E$2</f>
        <v>40.416283085126608</v>
      </c>
      <c r="N13" s="6">
        <f>($J$2*N25+$K$2*N33)*EXP(-$M$2*$N$2)+$B$2*(1-N10)*$E$2</f>
        <v>0</v>
      </c>
      <c r="O13" s="8">
        <v>0.4</v>
      </c>
      <c r="P13" s="148"/>
      <c r="Q13" s="148"/>
      <c r="R13" s="148"/>
      <c r="S13" s="148"/>
      <c r="T13" s="148"/>
      <c r="U13" s="148"/>
      <c r="V13" s="8">
        <v>0.4</v>
      </c>
      <c r="W13" s="6">
        <f>R11/(1+V13*$L$2)</f>
        <v>188.65718296103745</v>
      </c>
      <c r="X13" s="8">
        <v>0.4</v>
      </c>
      <c r="Y13" s="66"/>
      <c r="Z13" s="66"/>
      <c r="AA13" s="23">
        <f>K13+(AA10-$X$13)*$L$2*W13</f>
        <v>121.24884925537987</v>
      </c>
      <c r="AB13" s="19">
        <f>L13+(AB10-$X$13)*$L$2*W14</f>
        <v>118.86170372299614</v>
      </c>
      <c r="AC13" s="19">
        <f>M13+(AC10-$X$13)*$L$2*W15</f>
        <v>116.93764857366757</v>
      </c>
      <c r="AD13" s="19">
        <f>N13+(AD10-$X$13)*$L$2*W16</f>
        <v>115.3377566924776</v>
      </c>
      <c r="AE13" s="10"/>
      <c r="AF13" s="10">
        <v>0.4</v>
      </c>
      <c r="AG13" s="9"/>
      <c r="AH13" s="9"/>
      <c r="AI13" s="9">
        <f>(K30*$J$2+N38*$K$2)*EXP(-$M$2*$N$2)+$B$2*(1-AI10)*$E$2</f>
        <v>38.544831105646225</v>
      </c>
      <c r="AJ13" s="9">
        <f>(L31*$J$2+N39*$K$2)*EXP(-$M$2*$N$2)+$B$2*(1-AJ10)*$E$2</f>
        <v>28.579746132268568</v>
      </c>
      <c r="AK13" s="9">
        <f>(M32*$J$2+N40*$K$2)*EXP(-$M$2*$N$2)+$B$2*(1-AK10)*$E$2</f>
        <v>18.614661158890911</v>
      </c>
      <c r="AL13" s="9">
        <f>(N33*$J$2+N42*$K$2)*EXP(-$M$2*$N$2)+$B$2*(1-AL10)*$E$2</f>
        <v>0</v>
      </c>
      <c r="AM13" s="10">
        <v>0.4</v>
      </c>
      <c r="AN13" s="146"/>
      <c r="AO13" s="146"/>
      <c r="AP13" s="146"/>
      <c r="AQ13" s="146"/>
      <c r="AR13" s="146"/>
      <c r="AS13" s="146"/>
      <c r="AT13" s="10">
        <v>0.4</v>
      </c>
      <c r="AU13" s="9">
        <f>AP11/(1+$L$2*AT13)</f>
        <v>36.776632835206343</v>
      </c>
      <c r="AV13" s="10">
        <v>0.4</v>
      </c>
      <c r="AW13" s="61"/>
      <c r="AX13" s="67"/>
      <c r="AY13" s="24">
        <f>AI13+(AY10-$AV$13)*$L$2*AU13</f>
        <v>38.544831105646225</v>
      </c>
      <c r="AZ13" s="67">
        <f>AJ13+(AZ10-$AV$13)*$L$2*AU14</f>
        <v>36.225653237841733</v>
      </c>
      <c r="BA13" s="67">
        <f>AK13+(BA10-$AV$13)*$L$2*AU15</f>
        <v>34.358489541086861</v>
      </c>
      <c r="BB13" s="67">
        <f>AL13+(BB10-$AV$13)*$L$2*AU16</f>
        <v>24.158159578553473</v>
      </c>
    </row>
    <row r="14" spans="1:54" x14ac:dyDescent="0.25">
      <c r="C14" s="6">
        <f>A16*H2</f>
        <v>491.06293534828939</v>
      </c>
      <c r="G14" s="8"/>
      <c r="H14" s="8">
        <v>0.6</v>
      </c>
      <c r="I14" s="6"/>
      <c r="J14" s="6"/>
      <c r="K14" s="6"/>
      <c r="L14" s="6">
        <f>($J$2*N23+$K$2*L31)*EXP(-$M$2*$N$2)+$B$2*(1-L10)*$E$2</f>
        <v>80.83256617025323</v>
      </c>
      <c r="M14" s="6">
        <f>($J$2*N24+$K$2*M32)*EXP(-$M$2*$N$2)+$B$2*(1-M10)*$E$2</f>
        <v>40.416283085126608</v>
      </c>
      <c r="N14" s="6">
        <f>($J$2*N25+$K$2*N33)*EXP(-$M$2*$N$2)+$B$2*(1-N10)*$E$2</f>
        <v>0</v>
      </c>
      <c r="O14" s="8">
        <v>0.6</v>
      </c>
      <c r="P14" s="148"/>
      <c r="Q14" s="148"/>
      <c r="R14" s="148"/>
      <c r="S14" s="148"/>
      <c r="T14" s="148"/>
      <c r="U14" s="148"/>
      <c r="V14" s="8">
        <v>0.6</v>
      </c>
      <c r="W14" s="6">
        <f>S11/(1+V14*$L$2)</f>
        <v>190.14568776371462</v>
      </c>
      <c r="X14" s="8">
        <v>0.6</v>
      </c>
      <c r="Y14" s="66"/>
      <c r="Z14" s="66"/>
      <c r="AA14" s="66"/>
      <c r="AB14" s="23">
        <f>L14+(AB10-$X$14)*$L$2*W14</f>
        <v>80.83256617025323</v>
      </c>
      <c r="AC14" s="19">
        <f>M14+(AC10-$X$14)*$L$2*W15</f>
        <v>78.676965829397091</v>
      </c>
      <c r="AD14" s="19">
        <f>N14+(AD10-$X$14)*$L$2*W16</f>
        <v>76.891837794985065</v>
      </c>
      <c r="AE14" s="10"/>
      <c r="AF14" s="10">
        <v>0.6</v>
      </c>
      <c r="AG14" s="9"/>
      <c r="AH14" s="9"/>
      <c r="AI14" s="9"/>
      <c r="AJ14" s="9">
        <f>(L31*$J$2+N39*$K$2)*EXP(-$M$2*$N$2)+$B$2*(1-AJ10)*$E$2</f>
        <v>28.579746132268568</v>
      </c>
      <c r="AK14" s="9">
        <f>(M32*$J$2+N40*$K$2)*EXP(-$M$2*$N$2)+$B$2*(1-AK10)*$E$2</f>
        <v>18.614661158890911</v>
      </c>
      <c r="AL14" s="9">
        <f>(N33*$J$2+N42*$K$2)*EXP(-$M$2*$N$2)+$B$2*(1-AL10)*$E$2</f>
        <v>0</v>
      </c>
      <c r="AM14" s="10">
        <v>0.6</v>
      </c>
      <c r="AN14" s="146"/>
      <c r="AO14" s="146"/>
      <c r="AP14" s="146"/>
      <c r="AQ14" s="146"/>
      <c r="AR14" s="146"/>
      <c r="AS14" s="146"/>
      <c r="AT14" s="10">
        <v>0.6</v>
      </c>
      <c r="AU14" s="9">
        <f>AQ11/(1+$L$2*AT14)</f>
        <v>38.229535527865828</v>
      </c>
      <c r="AV14" s="10">
        <v>0.6</v>
      </c>
      <c r="AW14" s="61"/>
      <c r="AX14" s="61"/>
      <c r="AY14" s="61"/>
      <c r="AZ14" s="24">
        <f>AJ14+(AZ10-$AV$14)*$L$2*AU14</f>
        <v>28.579746132268568</v>
      </c>
      <c r="BA14" s="67">
        <f>AK14+(BA10-$AV$14)*$L$2*AU15</f>
        <v>26.48657534998889</v>
      </c>
      <c r="BB14" s="67">
        <f>AL14+(BB10-$AV$14)*$L$2*AU16</f>
        <v>16.105439719035651</v>
      </c>
    </row>
    <row r="15" spans="1:54" x14ac:dyDescent="0.25">
      <c r="B15" s="1"/>
      <c r="D15" s="2"/>
      <c r="G15" s="8"/>
      <c r="H15" s="8">
        <v>0.8</v>
      </c>
      <c r="I15" s="6"/>
      <c r="J15" s="6"/>
      <c r="K15" s="6"/>
      <c r="L15" s="6"/>
      <c r="M15" s="6">
        <f>($J$2*N24+$K$2*M32)*EXP(-$M$2*$N$2)+$B$2*(1-M10)*$E$2</f>
        <v>40.416283085126608</v>
      </c>
      <c r="N15" s="6">
        <f>($J$2*N25+$K$2*N33)*EXP(-$M$2*$N$2)+$B$2*(1-N10)*$E$2</f>
        <v>0</v>
      </c>
      <c r="O15" s="8">
        <v>0.8</v>
      </c>
      <c r="P15" s="148"/>
      <c r="Q15" s="148"/>
      <c r="R15" s="148"/>
      <c r="S15" s="148"/>
      <c r="T15" s="148"/>
      <c r="U15" s="148"/>
      <c r="V15" s="8">
        <v>0.8</v>
      </c>
      <c r="W15" s="6">
        <f>T11/(1+V15*$L$2)</f>
        <v>191.3034137213524</v>
      </c>
      <c r="X15" s="8">
        <v>0.8</v>
      </c>
      <c r="Y15" s="66"/>
      <c r="Z15" s="66"/>
      <c r="AA15" s="66"/>
      <c r="AB15" s="66"/>
      <c r="AC15" s="23">
        <f>M15+(AC10-$X$15)*$L$2*W15</f>
        <v>40.416283085126608</v>
      </c>
      <c r="AD15" s="19">
        <f>N15+(AD10-$X$15)*$L$2*W16</f>
        <v>38.445918897492525</v>
      </c>
      <c r="AE15" s="10"/>
      <c r="AF15" s="10">
        <v>0.8</v>
      </c>
      <c r="AG15" s="9"/>
      <c r="AH15" s="9"/>
      <c r="AI15" s="9"/>
      <c r="AJ15" s="9"/>
      <c r="AK15" s="9">
        <f>(M32*$J$2+N40*$K$2)*EXP(-$M$2*$N$2)+$B$2*(1-AK10)*$E$2</f>
        <v>18.614661158890911</v>
      </c>
      <c r="AL15" s="9">
        <f>(N33*$J$2+N42*$K$2)*EXP(-$M$2*$N$2)+$B$2*(1-AL10)*$E$2</f>
        <v>0</v>
      </c>
      <c r="AM15" s="10">
        <v>0.8</v>
      </c>
      <c r="AN15" s="146"/>
      <c r="AO15" s="146"/>
      <c r="AP15" s="146"/>
      <c r="AQ15" s="146"/>
      <c r="AR15" s="146"/>
      <c r="AS15" s="146"/>
      <c r="AT15" s="10">
        <v>0.8</v>
      </c>
      <c r="AU15" s="9">
        <f>AR11/(1+$L$2*AT15)</f>
        <v>39.359570955489872</v>
      </c>
      <c r="AV15" s="10">
        <v>0.8</v>
      </c>
      <c r="AW15" s="61"/>
      <c r="AX15" s="61"/>
      <c r="AY15" s="61"/>
      <c r="AZ15" s="61"/>
      <c r="BA15" s="24">
        <f>AK15+(BA10-$AV$15)*$L$2*AU15</f>
        <v>18.614661158890911</v>
      </c>
      <c r="BB15" s="67">
        <f>AL15+(BB10-$AV$15)*$L$2*AU15</f>
        <v>7.8719141910979724</v>
      </c>
    </row>
    <row r="16" spans="1:54" x14ac:dyDescent="0.25">
      <c r="A16" s="16">
        <v>310</v>
      </c>
      <c r="E16" s="13">
        <f>C14*I2</f>
        <v>310</v>
      </c>
      <c r="G16" s="8"/>
      <c r="H16" s="8">
        <v>1</v>
      </c>
      <c r="I16" s="6"/>
      <c r="J16" s="6"/>
      <c r="K16" s="6"/>
      <c r="L16" s="6"/>
      <c r="M16" s="6"/>
      <c r="N16" s="6">
        <f>($J$2*N25+$K$2*N33)*EXP(-$M$2*$N$2)+$B$2*(1-N10)*$E$2</f>
        <v>0</v>
      </c>
      <c r="O16" s="8">
        <v>1</v>
      </c>
      <c r="P16" s="148"/>
      <c r="Q16" s="148"/>
      <c r="R16" s="148"/>
      <c r="S16" s="148"/>
      <c r="T16" s="148"/>
      <c r="U16" s="148"/>
      <c r="V16" s="8">
        <v>1</v>
      </c>
      <c r="W16" s="6">
        <f>U11/(1+V16*$L$2)</f>
        <v>192.22959448746266</v>
      </c>
      <c r="X16" s="8">
        <v>1</v>
      </c>
      <c r="Y16" s="66"/>
      <c r="Z16" s="66"/>
      <c r="AA16" s="66"/>
      <c r="AB16" s="66"/>
      <c r="AC16" s="66"/>
      <c r="AD16" s="23">
        <f>N16+(AD10-$X$16)*$L$2*W16</f>
        <v>0</v>
      </c>
      <c r="AE16" s="10"/>
      <c r="AF16" s="10">
        <v>1</v>
      </c>
      <c r="AG16" s="9"/>
      <c r="AH16" s="9"/>
      <c r="AI16" s="9"/>
      <c r="AJ16" s="9"/>
      <c r="AK16" s="9"/>
      <c r="AL16" s="9">
        <f>(N33*$J$2+N42*$K$2)*EXP(-$M$2*$N$2)+$B$2*(1-AL10)*$E$2</f>
        <v>0</v>
      </c>
      <c r="AM16" s="10">
        <v>1</v>
      </c>
      <c r="AN16" s="146"/>
      <c r="AO16" s="146"/>
      <c r="AP16" s="146"/>
      <c r="AQ16" s="146"/>
      <c r="AR16" s="146"/>
      <c r="AS16" s="146"/>
      <c r="AT16" s="10">
        <v>1</v>
      </c>
      <c r="AU16" s="9">
        <f>AS11/(1+$L$2*AT16)</f>
        <v>40.263599297589124</v>
      </c>
      <c r="AV16" s="10">
        <v>1</v>
      </c>
      <c r="AW16" s="61"/>
      <c r="AX16" s="61"/>
      <c r="AY16" s="61"/>
      <c r="AZ16" s="61"/>
      <c r="BA16" s="61"/>
      <c r="BB16" s="24">
        <f>AL16+(BB10-$AV$16)*$L$2*AU16</f>
        <v>0</v>
      </c>
    </row>
    <row r="17" spans="1:54" x14ac:dyDescent="0.25">
      <c r="A17" s="3"/>
      <c r="B17" s="2"/>
      <c r="D17" s="1"/>
      <c r="AW17" s="20"/>
      <c r="AX17" s="20"/>
      <c r="AY17" s="20"/>
      <c r="AZ17" s="20"/>
      <c r="BA17" s="20"/>
      <c r="BB17" s="20"/>
    </row>
    <row r="18" spans="1:54" x14ac:dyDescent="0.25">
      <c r="C18" s="7">
        <f>A16*I2</f>
        <v>195.69793010714704</v>
      </c>
      <c r="G18" t="s">
        <v>61</v>
      </c>
      <c r="H18" s="4" t="s">
        <v>59</v>
      </c>
      <c r="I18" s="31">
        <f>IF($E$12&gt;$D$5,$P$2,IF($E$12*(1-$O$2)&gt;$P$2,$P$2,$E$12*(1-$O$2)))</f>
        <v>108</v>
      </c>
      <c r="J18" s="31">
        <f>IF($E$12&gt;$D$6,$P$2,IF($E$12*(1-$O$2)&gt;$P$2,$P$2,$E$12*(1-$O$2)))</f>
        <v>108</v>
      </c>
      <c r="K18" s="31">
        <f>IF($E$12&gt;$D$7,$P$2,IF($E$12*(1-$O$2)&gt;$P$2,$P$2,$E$12*(1-$O$2)))</f>
        <v>108</v>
      </c>
      <c r="L18" s="31">
        <f>IF($E$12&gt;$D$8,$P$2,IF($E$12*(1-$O$2)&gt;$P$2,$P$2,$E$12*(1-$O$2)))</f>
        <v>108</v>
      </c>
      <c r="M18" s="31">
        <f>IF($E$12&gt;$D$9,$P$2,IF($E$12*(1-$O$2)&gt;$P$2,$P$2,$E$12*(1-$O$2)))</f>
        <v>108</v>
      </c>
      <c r="N18" s="31">
        <f>IF($E$12&gt;$D$10,$P$2,IF($E$12*(1-$O$2)&gt;$P$2,$P$2,$E$12*(1-$O$2)))</f>
        <v>108</v>
      </c>
      <c r="AW18" s="20"/>
      <c r="AX18" s="20"/>
      <c r="AY18" s="20"/>
      <c r="AZ18" s="20"/>
      <c r="BA18" s="20"/>
      <c r="BB18" s="20"/>
    </row>
    <row r="19" spans="1:54" x14ac:dyDescent="0.25">
      <c r="D19" s="2"/>
      <c r="H19" s="4" t="s">
        <v>55</v>
      </c>
      <c r="I19" s="12">
        <v>0</v>
      </c>
      <c r="J19" s="12">
        <v>0.2</v>
      </c>
      <c r="K19" s="12">
        <v>0.4</v>
      </c>
      <c r="L19" s="12">
        <v>0.6</v>
      </c>
      <c r="M19" s="12">
        <v>0.8</v>
      </c>
      <c r="N19" s="12">
        <v>1</v>
      </c>
      <c r="O19" s="12" t="s">
        <v>57</v>
      </c>
      <c r="P19" s="12">
        <v>0</v>
      </c>
      <c r="Q19" s="12">
        <v>0.2</v>
      </c>
      <c r="R19" s="12">
        <v>0.4</v>
      </c>
      <c r="S19" s="12">
        <v>0.6</v>
      </c>
      <c r="T19" s="12">
        <v>0.8</v>
      </c>
      <c r="U19" s="12">
        <v>1</v>
      </c>
      <c r="V19" s="4" t="s">
        <v>56</v>
      </c>
      <c r="W19" s="4"/>
      <c r="X19" s="4"/>
      <c r="Y19" s="4"/>
    </row>
    <row r="20" spans="1:54" x14ac:dyDescent="0.25">
      <c r="E20" s="5">
        <f>C18*I2</f>
        <v>123.54090273619939</v>
      </c>
      <c r="H20" s="12">
        <v>0</v>
      </c>
      <c r="I20" s="30">
        <f>IF($E$12&gt;$D$5,$B$2*(1-I19)+$B$2*$E$2*(1-I19)+$L$2*W20*(I19-$H20),IF($E$12*(1-$O$2)&gt;$P$2,$E$12*(1-$O$2)-$P$2,0))</f>
        <v>105</v>
      </c>
      <c r="J20" s="30">
        <f>IF($E$12&gt;$D$6,$B$2*(1-J$19)+$B$2*$E$2*(1-J$19)+$L$2*$W$21*(J$19-$H20),IF($E$12*(1-$O$2)&gt;$P$2,$E$12*(1-$O$2)-$P$2,0))</f>
        <v>182.04667014670872</v>
      </c>
      <c r="K20" s="30">
        <f>IF($E$12&gt;$D$7,$B$2*(1-K$19)+$B$2*$E$2*(1-K$19)+$L$2*$W$22*(K$19-$H20),IF($E$12*(1-$O$2)&gt;$P$2,$E$12*(1-$O$2)-$P$2,0))</f>
        <v>237.02286310864358</v>
      </c>
      <c r="L20" s="30">
        <f>IF($E$12&gt;$D$8,$B$2*(1-L$19)+$B$2*$E$2*(1-L$19)+$L$2*$W$23*(L$19-$H20),IF($E$12*(1-$O$2)&gt;$P$2,$E$12*(1-$O$2)-$P$2,0))</f>
        <v>278.20500783009459</v>
      </c>
      <c r="M20" s="30">
        <f>IF($E$12&gt;$D$9,$B$2*(1-M$19)+$B$2*$E$2*(1-M$19)+$L$2*$W$24*(M$19-$H20),IF($E$12*(1-$O$2)&gt;$P$2,$E$12*(1-$O$2)-$P$2,0))</f>
        <v>310.19112039122331</v>
      </c>
      <c r="N20" s="32">
        <f t="shared" ref="N20:N25" si="2">IF($E$12&gt;$D$10,$B$2*(1-N$19)+$B$2*$E$2*(1-N$19)+$L$2*$W$25*(N$19-$H20),IF($E$12*(1-$O$2)&gt;$P$2,$E$12*(1-$O$2)-$P$2,0))</f>
        <v>335.74001044012618</v>
      </c>
      <c r="O20" s="12">
        <v>0</v>
      </c>
      <c r="P20" s="30">
        <f t="shared" ref="P20:U20" si="3">MAX($E$12-$P$2+$A$2*$D$2*$C$2-$B$2*(1-P19)-$B$2*(1-P19)*(1-$C$2)*$E$2,0)</f>
        <v>567.48002088025237</v>
      </c>
      <c r="Q20" s="30">
        <f t="shared" si="3"/>
        <v>588.28002088025232</v>
      </c>
      <c r="R20" s="30">
        <f t="shared" si="3"/>
        <v>609.08002088025239</v>
      </c>
      <c r="S20" s="30">
        <f t="shared" si="3"/>
        <v>629.88002088025235</v>
      </c>
      <c r="T20" s="30">
        <f t="shared" si="3"/>
        <v>650.68002088025241</v>
      </c>
      <c r="U20" s="30">
        <f t="shared" si="3"/>
        <v>671.48002088025237</v>
      </c>
      <c r="V20" s="12">
        <v>0</v>
      </c>
      <c r="W20" s="4">
        <f>P20/(1+$L$2*V20)</f>
        <v>567.48002088025237</v>
      </c>
      <c r="X20" s="12"/>
      <c r="Y20" s="4"/>
    </row>
    <row r="21" spans="1:54" x14ac:dyDescent="0.25">
      <c r="H21" s="12">
        <v>0.2</v>
      </c>
      <c r="I21" s="30"/>
      <c r="J21" s="30">
        <f>IF($E$12&gt;$D$6,$B$2*(1-J$19)+$B$2*$E$2*(1-J$19)+$L$2*$W$21*(J$19-$H21),IF($E$12*(1-$O$2)&gt;$P$2,$E$12*(1-$O$2)-$P$2,0))</f>
        <v>84</v>
      </c>
      <c r="K21" s="30">
        <f>IF($E$12&gt;$D$7,$B$2*(1-K$19)+$B$2*$E$2*(1-K$19)+$L$2*$W$22*(K$19-$H21),IF($E$12*(1-$O$2)&gt;$P$2,$E$12*(1-$O$2)-$P$2,0))</f>
        <v>150.0114315543218</v>
      </c>
      <c r="L21" s="30">
        <f>IF($E$12&gt;$D$8,$B$2*(1-L$19)+$B$2*$E$2*(1-L$19)+$L$2*$W$23*(L$19-$H21),IF($E$12*(1-$O$2)&gt;$P$2,$E$12*(1-$O$2)-$P$2,0))</f>
        <v>199.47000522006306</v>
      </c>
      <c r="M21" s="30">
        <f>IF($E$12&gt;$D$9,$B$2*(1-M$19)+$B$2*$E$2*(1-M$19)+$L$2*$W$24*(M$19-$H21),IF($E$12*(1-$O$2)&gt;$P$2,$E$12*(1-$O$2)-$P$2,0))</f>
        <v>237.89334029341751</v>
      </c>
      <c r="N21" s="32">
        <f t="shared" si="2"/>
        <v>268.59200835210095</v>
      </c>
      <c r="O21" s="12">
        <v>0.2</v>
      </c>
      <c r="P21" s="149" t="s">
        <v>77</v>
      </c>
      <c r="Q21" s="149"/>
      <c r="R21" s="149"/>
      <c r="S21" s="149"/>
      <c r="T21" s="149"/>
      <c r="U21" s="149"/>
      <c r="V21" s="12">
        <v>0.2</v>
      </c>
      <c r="W21" s="4">
        <f>Q20/(1+$L$2*V21)</f>
        <v>490.2333507335436</v>
      </c>
      <c r="X21" s="12"/>
      <c r="Y21" s="4"/>
    </row>
    <row r="22" spans="1:54" x14ac:dyDescent="0.25">
      <c r="H22" s="12">
        <v>0.4</v>
      </c>
      <c r="I22" s="30"/>
      <c r="J22" s="30"/>
      <c r="K22" s="30">
        <f>IF($E$12&gt;$D$7,$B$2*(1-K$19)+$B$2*$E$2*(1-K$19)+$L$2*$W$22*(K$19-$H22),IF($E$12*(1-$O$2)&gt;$P$2,$E$12*(1-$O$2)-$P$2,0))</f>
        <v>63</v>
      </c>
      <c r="L22" s="30">
        <f>IF($E$12&gt;$D$8,$B$2*(1-L$19)+$B$2*$E$2*(1-L$19)+$L$2*$W$23*(L$19-$H22),IF($E$12*(1-$O$2)&gt;$P$2,$E$12*(1-$O$2)-$P$2,0))</f>
        <v>120.73500261003153</v>
      </c>
      <c r="M22" s="30">
        <f>IF($E$12&gt;$D$9,$B$2*(1-M$19)+$B$2*$E$2*(1-M$19)+$L$2*$W$24*(M$19-$H22),IF($E$12*(1-$O$2)&gt;$P$2,$E$12*(1-$O$2)-$P$2,0))</f>
        <v>165.59556019561165</v>
      </c>
      <c r="N22" s="32">
        <f t="shared" si="2"/>
        <v>201.44400626407571</v>
      </c>
      <c r="O22" s="12">
        <v>0.4</v>
      </c>
      <c r="P22" s="149"/>
      <c r="Q22" s="149"/>
      <c r="R22" s="149"/>
      <c r="S22" s="149"/>
      <c r="T22" s="149"/>
      <c r="U22" s="149"/>
      <c r="V22" s="12">
        <v>0.4</v>
      </c>
      <c r="W22" s="4">
        <f>R20/(1+$L$2*V22)</f>
        <v>435.0571577716089</v>
      </c>
      <c r="X22" s="12"/>
      <c r="Y22" s="4"/>
    </row>
    <row r="23" spans="1:54" x14ac:dyDescent="0.25">
      <c r="H23" s="12">
        <v>0.6</v>
      </c>
      <c r="I23" s="30"/>
      <c r="J23" s="30"/>
      <c r="K23" s="30"/>
      <c r="L23" s="30">
        <f>IF($E$12&gt;$D$8,$B$2*(1-L$19)+$B$2*$E$2*(1-L$19)+$L$2*$W$23*(L$19-$H23),IF($E$12*(1-$O$2)&gt;$P$2,$E$12*(1-$O$2)-$P$2,0))</f>
        <v>42</v>
      </c>
      <c r="M23" s="30">
        <f>IF($E$12&gt;$D$9,$B$2*(1-M$19)+$B$2*$E$2*(1-M$19)+$L$2*$W$24*(M$19-$H23),IF($E$12*(1-$O$2)&gt;$P$2,$E$12*(1-$O$2)-$P$2,0))</f>
        <v>93.297780097805841</v>
      </c>
      <c r="N23" s="32">
        <f t="shared" si="2"/>
        <v>134.29600417605047</v>
      </c>
      <c r="O23" s="12">
        <v>0.6</v>
      </c>
      <c r="P23" s="149"/>
      <c r="Q23" s="149"/>
      <c r="R23" s="149"/>
      <c r="S23" s="149"/>
      <c r="T23" s="149"/>
      <c r="U23" s="149"/>
      <c r="V23" s="12">
        <v>0.6</v>
      </c>
      <c r="W23" s="4">
        <f>S20/(1+$L$2*V23)</f>
        <v>393.6750130501577</v>
      </c>
      <c r="X23" s="12"/>
      <c r="Y23" s="4"/>
    </row>
    <row r="24" spans="1:54" x14ac:dyDescent="0.25">
      <c r="H24" s="12">
        <v>0.8</v>
      </c>
      <c r="I24" s="30"/>
      <c r="J24" s="30"/>
      <c r="K24" s="30"/>
      <c r="L24" s="30"/>
      <c r="M24" s="30">
        <f>IF($E$12&gt;$D$9,$B$2*(1-M$19)+$B$2*$E$2*(1-M$19)+$L$2*$W$24*(M$19-$H24),IF($E$12*(1-$O$2)&gt;$P$2,$E$12*(1-$O$2)-$P$2,0))</f>
        <v>20.999999999999996</v>
      </c>
      <c r="N24" s="32">
        <f t="shared" si="2"/>
        <v>67.148002088025223</v>
      </c>
      <c r="O24" s="12">
        <v>0.8</v>
      </c>
      <c r="P24" s="149"/>
      <c r="Q24" s="149"/>
      <c r="R24" s="149"/>
      <c r="S24" s="149"/>
      <c r="T24" s="149"/>
      <c r="U24" s="149"/>
      <c r="V24" s="12">
        <v>0.8</v>
      </c>
      <c r="W24" s="4">
        <f>T20/(1+$L$2*V24)</f>
        <v>361.48890048902911</v>
      </c>
      <c r="X24" s="12"/>
      <c r="Y24" s="4"/>
    </row>
    <row r="25" spans="1:54" x14ac:dyDescent="0.25">
      <c r="H25" s="12">
        <v>1</v>
      </c>
      <c r="I25" s="30"/>
      <c r="J25" s="30"/>
      <c r="K25" s="30"/>
      <c r="L25" s="30"/>
      <c r="M25" s="30"/>
      <c r="N25" s="32">
        <f t="shared" si="2"/>
        <v>0</v>
      </c>
      <c r="O25" s="12">
        <v>1</v>
      </c>
      <c r="P25" s="149"/>
      <c r="Q25" s="149"/>
      <c r="R25" s="149"/>
      <c r="S25" s="149"/>
      <c r="T25" s="149"/>
      <c r="U25" s="149"/>
      <c r="V25" s="12">
        <v>1</v>
      </c>
      <c r="W25" s="4">
        <f>U20/(1+$L$2*V25)</f>
        <v>335.74001044012618</v>
      </c>
      <c r="X25" s="12"/>
      <c r="Y25" s="4"/>
    </row>
    <row r="26" spans="1:54" x14ac:dyDescent="0.25">
      <c r="G26" s="13" t="s">
        <v>59</v>
      </c>
      <c r="H26" s="13"/>
      <c r="I26" s="28">
        <f>IF($E$16&gt;$D$5,$P$2,IF($E$16*(1-$O$2)&gt;$P$2,$P$2,$E$16*(1-$O$2)))</f>
        <v>108</v>
      </c>
      <c r="J26" s="28">
        <f>IF($E$16&gt;$D$6,$P$2,IF($E$16*(1-$O$2)&gt;$P$2,$P$2,$E$16*(1-$O$2)))</f>
        <v>108</v>
      </c>
      <c r="K26" s="28">
        <f>IF($E$16&gt;$D$7,$P$2,IF($E$16*(1-$O$2)&gt;$P$2,$P$2,$E$16*(1-$O$2)))</f>
        <v>108</v>
      </c>
      <c r="L26" s="28">
        <f>IF($E$16&gt;$D$8,$P$2,IF($E$16*(1-$O$2)&gt;$P$2,$P$2,$E$16*(1-$O$2)))</f>
        <v>108</v>
      </c>
      <c r="M26" s="28">
        <f>IF($E$16&gt;$D$9,$P$2,IF($E$16*(1-$O$2)&gt;$P$2,$P$2,$E$16*(1-$O$2)))</f>
        <v>108</v>
      </c>
      <c r="N26" s="28">
        <f>IF($E$16&gt;$D$10,$P$2,IF($E$16*(1-$O$2)&gt;$P$2,$P$2,$E$16*(1-$O$2)))</f>
        <v>108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54" x14ac:dyDescent="0.25">
      <c r="G27" s="13"/>
      <c r="H27" s="13" t="s">
        <v>55</v>
      </c>
      <c r="I27" s="14">
        <v>0</v>
      </c>
      <c r="J27" s="14">
        <v>0.2</v>
      </c>
      <c r="K27" s="14">
        <v>0.4</v>
      </c>
      <c r="L27" s="14">
        <v>0.6</v>
      </c>
      <c r="M27" s="14">
        <v>0.8</v>
      </c>
      <c r="N27" s="14">
        <v>1</v>
      </c>
      <c r="O27" s="14" t="s">
        <v>57</v>
      </c>
      <c r="P27" s="14">
        <v>0</v>
      </c>
      <c r="Q27" s="14">
        <v>0.2</v>
      </c>
      <c r="R27" s="14">
        <v>0.4</v>
      </c>
      <c r="S27" s="14">
        <v>0.6</v>
      </c>
      <c r="T27" s="14">
        <v>0.8</v>
      </c>
      <c r="U27" s="14">
        <v>1</v>
      </c>
      <c r="V27" s="13" t="s">
        <v>56</v>
      </c>
      <c r="W27" s="13"/>
      <c r="X27" s="13"/>
      <c r="Y27" s="13"/>
    </row>
    <row r="28" spans="1:54" x14ac:dyDescent="0.25">
      <c r="H28" s="14">
        <v>0</v>
      </c>
      <c r="I28" s="32">
        <f>IF($E$16&gt;$D$5,$B$2*(1-I27)+$B$2*$E$2*(1-I27)+$L$2*W28*(I27-$H28),IF($E$16*(1-$O$2)&gt;$P$2,$E$16*(1-$O$2)-$P$2,0))</f>
        <v>105</v>
      </c>
      <c r="J28" s="30">
        <f>IF($E$16&gt;$D$6,$B$2*(1-J$27)+$B$2*$E$2*(1-J$27)+$L$2*$W$29*(J$27-$H28),IF($E$16*(1-$O$2)&gt;$P$2,$E$16*(1-$O$2)-$P$2,0))</f>
        <v>104.06666666666666</v>
      </c>
      <c r="K28" s="30">
        <f>IF($E$16&gt;$D$7,$B$2*(1-K$27)+$B$2*$E$2*(1-K$27)+$L$2*$W$30*(K$27-$H28),IF($E$16*(1-$O$2)&gt;$P$2,$E$16*(1-$O$2)-$P$2,0))</f>
        <v>103.34285714285716</v>
      </c>
      <c r="L28" s="30">
        <f>IF($E$16&gt;$D$8,$B$2*(1-L$27)+$B$2*$E$2*(1-L$27)+$L$2*$W$31*(L$27-$H28),IF($E$16*(1-$O$2)&gt;$P$2,$E$16*(1-$O$2)-$P$2,0))</f>
        <v>102.75</v>
      </c>
      <c r="M28" s="30">
        <f>IF($E$16&gt;$D$9,$B$2*(1-M$27)+$B$2*$E$2*(1-M$27)+$L$2*$W$32*(M$27-$H28),IF($E$16*(1-$O$2)&gt;$P$2,$E$16*(1-$O$2)-$P$2,0))</f>
        <v>102.24444444444444</v>
      </c>
      <c r="N28" s="30">
        <f t="shared" ref="N28:N33" si="4">IF($E$16&gt;$D$10,$B$2*(1-N$27)+$B$2*$E$2*(1-N$27)+$L$2*$W$33*(N$27-$H28),IF($E$16*(1-$O$2)&gt;$P$2,$E$16*(1-$O$2)-$P$2,0))</f>
        <v>101.8</v>
      </c>
      <c r="O28" s="14">
        <v>0</v>
      </c>
      <c r="P28" s="30">
        <f t="shared" ref="P28:U28" si="5">MAX($E$16-$P$2+$A$2*$D$2*$C$2-$B$2*(1-P27)-$B$2*(1-P27)*(1-$C$2)*$E$2,0)</f>
        <v>99.6</v>
      </c>
      <c r="Q28" s="30">
        <f t="shared" si="5"/>
        <v>120.39999999999999</v>
      </c>
      <c r="R28" s="30">
        <f t="shared" si="5"/>
        <v>141.19999999999999</v>
      </c>
      <c r="S28" s="30">
        <f t="shared" si="5"/>
        <v>162</v>
      </c>
      <c r="T28" s="30">
        <f t="shared" si="5"/>
        <v>182.79999999999998</v>
      </c>
      <c r="U28" s="30">
        <f t="shared" si="5"/>
        <v>203.6</v>
      </c>
      <c r="V28" s="14">
        <v>0</v>
      </c>
      <c r="W28" s="13">
        <f>P28/(1+$L$2*V28)</f>
        <v>99.6</v>
      </c>
      <c r="X28" s="14"/>
      <c r="Y28" s="13"/>
    </row>
    <row r="29" spans="1:54" x14ac:dyDescent="0.25">
      <c r="H29" s="14">
        <v>0.2</v>
      </c>
      <c r="I29" s="13"/>
      <c r="J29" s="32">
        <f>IF($E$16&gt;$D$6,$B$2*(1-J$27)+$B$2*$E$2*(1-J$27)+$L$2*$W$29*(J$27-$H29),IF($E$16*(1-$O$2)&gt;$P$2,$E$16*(1-$O$2)-$P$2,0))</f>
        <v>84</v>
      </c>
      <c r="K29" s="30">
        <f>IF($E$16&gt;$D$7,$B$2*(1-K$27)+$B$2*$E$2*(1-K$27)+$L$2*$W$30*(K$27-$H29),IF($E$16*(1-$O$2)&gt;$P$2,$E$16*(1-$O$2)-$P$2,0))</f>
        <v>83.171428571428578</v>
      </c>
      <c r="L29" s="30">
        <f>IF($E$16&gt;$D$8,$B$2*(1-L$27)+$B$2*$E$2*(1-L$27)+$L$2*$W$31*(L$27-$H29),IF($E$16*(1-$O$2)&gt;$P$2,$E$16*(1-$O$2)-$P$2,0))</f>
        <v>82.5</v>
      </c>
      <c r="M29" s="30">
        <f>IF($E$16&gt;$D$9,$B$2*(1-M$27)+$B$2*$E$2*(1-M$27)+$L$2*$W$32*(M$27-$H29),IF($E$16*(1-$O$2)&gt;$P$2,$E$16*(1-$O$2)-$P$2,0))</f>
        <v>81.933333333333337</v>
      </c>
      <c r="N29" s="30">
        <f t="shared" si="4"/>
        <v>81.44</v>
      </c>
      <c r="O29" s="14">
        <v>0.2</v>
      </c>
      <c r="P29" s="150" t="s">
        <v>73</v>
      </c>
      <c r="Q29" s="150"/>
      <c r="R29" s="150"/>
      <c r="S29" s="150"/>
      <c r="T29" s="150"/>
      <c r="U29" s="150"/>
      <c r="V29" s="14">
        <v>0.2</v>
      </c>
      <c r="W29" s="13">
        <f>Q28/(1+$L$2*V29)</f>
        <v>100.33333333333333</v>
      </c>
      <c r="X29" s="14"/>
      <c r="Y29" s="13"/>
    </row>
    <row r="30" spans="1:54" x14ac:dyDescent="0.25">
      <c r="H30" s="14">
        <v>0.4</v>
      </c>
      <c r="I30" s="13"/>
      <c r="J30" s="13"/>
      <c r="K30" s="32">
        <f>IF($E$16&gt;$D$7,$B$2*(1-K$27)+$B$2*$E$2*(1-K$27)+$L$2*$W$30*(K$27-$H30),IF($E$16*(1-$O$2)&gt;$P$2,$E$16*(1-$O$2)-$P$2,0))</f>
        <v>63</v>
      </c>
      <c r="L30" s="30">
        <f>IF($E$16&gt;$D$8,$B$2*(1-L$27)+$B$2*$E$2*(1-L$27)+$L$2*$W$31*(L$27-$H30),IF($E$16*(1-$O$2)&gt;$P$2,$E$16*(1-$O$2)-$P$2,0))</f>
        <v>62.25</v>
      </c>
      <c r="M30" s="30">
        <f>IF($E$16&gt;$D$9,$B$2*(1-M$27)+$B$2*$E$2*(1-M$27)+$L$2*$W$32*(M$27-$H30),IF($E$16*(1-$O$2)&gt;$P$2,$E$16*(1-$O$2)-$P$2,0))</f>
        <v>61.62222222222222</v>
      </c>
      <c r="N30" s="30">
        <f t="shared" si="4"/>
        <v>61.08</v>
      </c>
      <c r="O30" s="14">
        <v>0.4</v>
      </c>
      <c r="P30" s="150"/>
      <c r="Q30" s="150"/>
      <c r="R30" s="150"/>
      <c r="S30" s="150"/>
      <c r="T30" s="150"/>
      <c r="U30" s="150"/>
      <c r="V30" s="14">
        <v>0.4</v>
      </c>
      <c r="W30" s="13">
        <f>R28/(1+$L$2*V30)</f>
        <v>100.85714285714286</v>
      </c>
      <c r="X30" s="14"/>
      <c r="Y30" s="13"/>
    </row>
    <row r="31" spans="1:54" x14ac:dyDescent="0.25">
      <c r="H31" s="14">
        <v>0.6</v>
      </c>
      <c r="I31" s="13"/>
      <c r="J31" s="13"/>
      <c r="K31" s="13"/>
      <c r="L31" s="32">
        <f>IF($E$16&gt;$D$8,$B$2*(1-L$27)+$B$2*$E$2*(1-L$27)+$L$2*$W$31*(L$27-$H31),IF($E$16*(1-$O$2)&gt;$P$2,$E$16*(1-$O$2)-$P$2,0))</f>
        <v>42</v>
      </c>
      <c r="M31" s="30">
        <f>IF($E$16&gt;$D$9,$B$2*(1-M$27)+$B$2*$E$2*(1-M$27)+$L$2*$W$32*(M$27-$H31),IF($E$16*(1-$O$2)&gt;$P$2,$E$16*(1-$O$2)-$P$2,0))</f>
        <v>41.311111111111117</v>
      </c>
      <c r="N31" s="30">
        <f t="shared" si="4"/>
        <v>40.72</v>
      </c>
      <c r="O31" s="14">
        <v>0.6</v>
      </c>
      <c r="P31" s="150"/>
      <c r="Q31" s="150"/>
      <c r="R31" s="150"/>
      <c r="S31" s="150"/>
      <c r="T31" s="150"/>
      <c r="U31" s="150"/>
      <c r="V31" s="14">
        <v>0.6</v>
      </c>
      <c r="W31" s="13">
        <f>S28/(1+$L$2*V31)</f>
        <v>101.25</v>
      </c>
      <c r="X31" s="14"/>
      <c r="Y31" s="13"/>
    </row>
    <row r="32" spans="1:54" x14ac:dyDescent="0.25">
      <c r="H32" s="14">
        <v>0.8</v>
      </c>
      <c r="I32" s="13"/>
      <c r="J32" s="13"/>
      <c r="K32" s="13"/>
      <c r="L32" s="13"/>
      <c r="M32" s="32">
        <f>IF($E$16&gt;$D$9,$B$2*(1-M$27)+$B$2*$E$2*(1-M$27)+$L$2*$W$32*(M$27-$H32),IF($E$16*(1-$O$2)&gt;$P$2,$E$16*(1-$O$2)-$P$2,0))</f>
        <v>20.999999999999996</v>
      </c>
      <c r="N32" s="30">
        <f t="shared" si="4"/>
        <v>20.359999999999996</v>
      </c>
      <c r="O32" s="14">
        <v>0.8</v>
      </c>
      <c r="P32" s="150"/>
      <c r="Q32" s="150"/>
      <c r="R32" s="150"/>
      <c r="S32" s="150"/>
      <c r="T32" s="150"/>
      <c r="U32" s="150"/>
      <c r="V32" s="14">
        <v>0.8</v>
      </c>
      <c r="W32" s="13">
        <f>T28/(1+$L$2*V32)</f>
        <v>101.55555555555554</v>
      </c>
      <c r="X32" s="14"/>
      <c r="Y32" s="13"/>
    </row>
    <row r="33" spans="1:27" x14ac:dyDescent="0.25">
      <c r="H33" s="14">
        <v>1</v>
      </c>
      <c r="I33" s="13"/>
      <c r="J33" s="13"/>
      <c r="K33" s="13"/>
      <c r="L33" s="13"/>
      <c r="M33" s="13"/>
      <c r="N33" s="32">
        <f t="shared" si="4"/>
        <v>0</v>
      </c>
      <c r="O33" s="14">
        <v>1</v>
      </c>
      <c r="P33" s="150"/>
      <c r="Q33" s="150"/>
      <c r="R33" s="150"/>
      <c r="S33" s="150"/>
      <c r="T33" s="150"/>
      <c r="U33" s="150"/>
      <c r="V33" s="14">
        <v>1</v>
      </c>
      <c r="W33" s="13">
        <f>U28/(1+$L$2*V33)</f>
        <v>101.8</v>
      </c>
      <c r="X33" s="14"/>
      <c r="Y33" s="13"/>
    </row>
    <row r="34" spans="1:27" x14ac:dyDescent="0.25">
      <c r="G34" s="5" t="s">
        <v>59</v>
      </c>
      <c r="H34" s="5"/>
      <c r="I34" s="29">
        <f>IF($E$20&gt;$D$5,$P$2,IF($E$20*(1-$O$2)&gt;$P$2,$P$2,$E$20*(1-$O$2)))</f>
        <v>98.832722188959508</v>
      </c>
      <c r="J34" s="29">
        <f>IF($E$20&gt;$D$6,$P$2,IF($E$20*(1-$O$2)&gt;$P$2,$P$2,$E$20*(1-$O$2)))</f>
        <v>98.832722188959508</v>
      </c>
      <c r="K34" s="29">
        <f>IF($E$20&gt;$D$7,$P$2,IF($E$20*(1-$O$2)&gt;$P$2,$P$2,$E$20*(1-$O$2)))</f>
        <v>98.832722188959508</v>
      </c>
      <c r="L34" s="29">
        <f>IF($E$20&gt;$D$8,$P$2,IF($E$20*(1-$O$2)&gt;$P$2,$P$2,$E$20*(1-$O$2)))</f>
        <v>98.832722188959508</v>
      </c>
      <c r="M34" s="29">
        <f>IF($E$20&gt;$D$9,$P$2,IF($E$20*(1-$O$2)&gt;$P$2,$P$2,$E$20*(1-$O$2)))</f>
        <v>98.832722188959508</v>
      </c>
      <c r="N34" s="29">
        <f>IF($E$20&gt;$D$11,$P$2,IF($E$20*(1-$O$2)&gt;$P$2,$P$2,$E$20*(1-$O$2)))</f>
        <v>108</v>
      </c>
      <c r="O34" s="29">
        <f>IF($E$20&gt;$D$10,$P$2,IF($E$20*(1-$O$2)&gt;$P$2,$P$2,$E$20*(1-$O$2)))</f>
        <v>108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7" x14ac:dyDescent="0.25">
      <c r="G35" s="5"/>
      <c r="H35" s="5" t="s">
        <v>55</v>
      </c>
      <c r="I35" s="15">
        <v>0</v>
      </c>
      <c r="J35" s="15">
        <v>0.2</v>
      </c>
      <c r="K35" s="15">
        <v>0.4</v>
      </c>
      <c r="L35" s="15">
        <v>0.6</v>
      </c>
      <c r="M35" s="15">
        <v>0.8</v>
      </c>
      <c r="N35" s="15">
        <v>0.84</v>
      </c>
      <c r="O35" s="15">
        <v>1</v>
      </c>
      <c r="P35" s="15" t="s">
        <v>57</v>
      </c>
      <c r="Q35" s="15">
        <v>0</v>
      </c>
      <c r="R35" s="15">
        <v>0.2</v>
      </c>
      <c r="S35" s="15">
        <v>0.4</v>
      </c>
      <c r="T35" s="15">
        <v>0.6</v>
      </c>
      <c r="U35" s="15">
        <v>0.8</v>
      </c>
      <c r="V35" s="15">
        <v>0.84</v>
      </c>
      <c r="W35" s="15">
        <v>1</v>
      </c>
      <c r="X35" s="5" t="s">
        <v>56</v>
      </c>
      <c r="Y35" s="5"/>
      <c r="Z35" s="5"/>
      <c r="AA35" s="5"/>
    </row>
    <row r="36" spans="1:27" x14ac:dyDescent="0.25">
      <c r="H36" s="15">
        <v>0</v>
      </c>
      <c r="I36" s="30">
        <f>IF($E$20&gt;$D$5,$B$2*(1-I35)+$B$2*$E$2*(1-I35)+$L$2*Y36*(I35-$H36),IF($E$20*(1-$O$2)&gt;$P$2,$E$20*(1-$O$2)-$P$2,0))</f>
        <v>0</v>
      </c>
      <c r="J36" s="30">
        <f>IF($E$20&gt;$D$6,$B$2*(1-J$35)+$B$2*$E$2*(1-J$35)+$L$2*$Y$37*(J$35-$H36),IF($E$20*(1-$O$2)&gt;$P$2,$E$20*(1-$O$2)-$P$2,0))</f>
        <v>0</v>
      </c>
      <c r="K36" s="30">
        <f>IF($E$20&gt;$D$7,$B$2*(1-K$35)+$B$2*$E$2*(1-K$35)+$L$2*$Y$38*(K$35-$H36),IF($E$20*(1-$O$2)&gt;$P$2,$E$20*(1-$O$2)-$P$2,0))</f>
        <v>0</v>
      </c>
      <c r="L36" s="30">
        <f>IF($E$20&gt;$D$8,$B$2*(1-L$35)+$B$2*$E$2*(1-L$35)+$L$2*$Y$39*(L$35-$H36),IF($E$20*(1-$O$2)&gt;$P$2,$E$20*(1-$O$2)-$P$2,0))</f>
        <v>0</v>
      </c>
      <c r="M36" s="30">
        <f>IF($E$20&gt;$D$9,$B$2*(1-M$35)+$B$2*$E$2*(1-M$35)+$L$2*$Y$40*(M$35-$H36),IF($E$20*(1-$O$2)&gt;$P$2,$E$20*(1-$O$2)-$P$2,0))</f>
        <v>0</v>
      </c>
      <c r="N36" s="32">
        <f>IF(E20&gt;D11,$B$2*(1-N$35)+$B$2*$E$2*(1-N$35)+$L$2*Y41*(N$35-$H36),IF(E20*(1-$O$2)&gt;$P$2,E20*(1-$O$2)-$P$2,0))</f>
        <v>17.02867298826494</v>
      </c>
      <c r="O36" s="30">
        <f t="shared" ref="O36:O42" si="6">IF($E$20&gt;$D$10,$B$2*(1-O$35)+$B$2*$E$2*(1-O$35)+$L$2*$Y$42*(O$35-$H36),IF($E$20*(1-$O$2)&gt;$P$2,$E$20*(1-$O$2)-$P$2,0))</f>
        <v>8.5704513680996932</v>
      </c>
      <c r="P36" s="15">
        <v>0</v>
      </c>
      <c r="Q36" s="30">
        <f t="shared" ref="Q36:W36" si="7">MAX($E$20-$P$2+$A$2*$D$2*$C$2-$B$2*(1-Q35)-$B$2*(1-Q35)*(1-$C$2)*$E$2,0)</f>
        <v>0</v>
      </c>
      <c r="R36" s="30">
        <f t="shared" si="7"/>
        <v>0</v>
      </c>
      <c r="S36" s="30">
        <f t="shared" si="7"/>
        <v>0</v>
      </c>
      <c r="T36" s="30">
        <f t="shared" si="7"/>
        <v>0</v>
      </c>
      <c r="U36" s="30">
        <f t="shared" si="7"/>
        <v>0</v>
      </c>
      <c r="V36" s="30">
        <f>MAX($E$20-$P$2+$A$2*$D$2*$C$2-$B$2*(1-V35)-$B$2*(1-V35)*(1-$C$2)*$E$2,0)</f>
        <v>0.50090273619938264</v>
      </c>
      <c r="W36" s="30">
        <f t="shared" si="7"/>
        <v>17.140902736199386</v>
      </c>
      <c r="X36" s="15">
        <v>0</v>
      </c>
      <c r="Y36" s="28">
        <f>Q36/(1+$L$2*X36)</f>
        <v>0</v>
      </c>
      <c r="Z36" s="15"/>
      <c r="AA36" s="5"/>
    </row>
    <row r="37" spans="1:27" x14ac:dyDescent="0.25">
      <c r="H37" s="15">
        <v>0.2</v>
      </c>
      <c r="I37" s="22"/>
      <c r="J37" s="30">
        <f>IF($E$20&gt;$D$6,$B$2*(1-J$35)+$B$2*$E$2*(1-J$35)+$L$2*$Y$37*(J$35-$H37),IF($E$20*(1-$O$2)&gt;$P$2,$E$20*(1-$O$2)-$P$2,0))</f>
        <v>0</v>
      </c>
      <c r="K37" s="30">
        <f>IF($E$20&gt;$D$7,$B$2*(1-K$35)+$B$2*$E$2*(1-K$35)+$L$2*$Y$38*(K$35-$H37),IF($E$20*(1-$O$2)&gt;$P$2,$E$20*(1-$O$2)-$P$2,0))</f>
        <v>0</v>
      </c>
      <c r="L37" s="30">
        <f>IF($E$20&gt;$D$8,$B$2*(1-L$35)+$B$2*$E$2*(1-L$35)+$L$2*$Y$39*(L$35-$H37),IF($E$20*(1-$O$2)&gt;$P$2,$E$20*(1-$O$2)-$P$2,0))</f>
        <v>0</v>
      </c>
      <c r="M37" s="30">
        <f>IF($E$20&gt;$D$9,$B$2*(1-M$35)+$B$2*$E$2*(1-M$35)+$L$2*$Y$40*(M$35-$H37),IF($E$20*(1-$O$2)&gt;$P$2,$E$20*(1-$O$2)-$P$2,0))</f>
        <v>0</v>
      </c>
      <c r="N37" s="32">
        <f>IF(E20&gt;D11,$B$2*(1-N$35)+$B$2*$E$2*(1-N$35)+$L$2*Y41*(N$35-$H37),IF(E20*(1-$O$2)&gt;$P$2,E20*(1-$O$2)-$P$2,0))</f>
        <v>16.974227038678052</v>
      </c>
      <c r="O37" s="30">
        <f t="shared" si="6"/>
        <v>6.8563610944797553</v>
      </c>
      <c r="P37" s="15">
        <v>0.2</v>
      </c>
      <c r="Q37" s="145" t="s">
        <v>76</v>
      </c>
      <c r="R37" s="145"/>
      <c r="S37" s="145"/>
      <c r="T37" s="145"/>
      <c r="U37" s="145"/>
      <c r="V37" s="145"/>
      <c r="W37" s="64"/>
      <c r="X37" s="15">
        <v>0.2</v>
      </c>
      <c r="Y37" s="28">
        <f>R36/(1+$L$2*X37)</f>
        <v>0</v>
      </c>
      <c r="Z37" s="15"/>
      <c r="AA37" s="5"/>
    </row>
    <row r="38" spans="1:27" x14ac:dyDescent="0.25">
      <c r="H38" s="15">
        <v>0.4</v>
      </c>
      <c r="I38" s="22"/>
      <c r="J38" s="22"/>
      <c r="K38" s="30">
        <f>IF($E$20&gt;$D$7,$B$2*(1-K$35)+$B$2*$E$2*(1-K$35)+$L$2*$Y$38*(K$35-$H38),IF($E$20*(1-$O$2)&gt;$P$2,$E$20*(1-$O$2)-$P$2,0))</f>
        <v>0</v>
      </c>
      <c r="L38" s="30">
        <f>IF($E$20&gt;$D$8,$B$2*(1-L$35)+$B$2*$E$2*(1-L$35)+$L$2*$Y$39*(L$35-$H38),IF($E$20*(1-$O$2)&gt;$P$2,$E$20*(1-$O$2)-$P$2,0))</f>
        <v>0</v>
      </c>
      <c r="M38" s="30">
        <f>IF($E$20&gt;$D$9,$B$2*(1-M$35)+$B$2*$E$2*(1-M$35)+$L$2*$Y$40*(M$35-$H38),IF($E$20*(1-$O$2)&gt;$P$2,$E$20*(1-$O$2)-$P$2,0))</f>
        <v>0</v>
      </c>
      <c r="N38" s="32">
        <f>IF(E20&gt;D11,$B$2*(1-N$35)+$B$2*$E$2*(1-N$35)+$L$2*Y41*(N$35-$H38),IF(E20*(1-$O$2)&gt;$P$2,E20*(1-$O$2)-$P$2,0))</f>
        <v>16.91978108909116</v>
      </c>
      <c r="O38" s="30">
        <f t="shared" si="6"/>
        <v>5.1422708208598156</v>
      </c>
      <c r="P38" s="15">
        <v>0.4</v>
      </c>
      <c r="Q38" s="145"/>
      <c r="R38" s="145"/>
      <c r="S38" s="145"/>
      <c r="T38" s="145"/>
      <c r="U38" s="145"/>
      <c r="V38" s="145"/>
      <c r="W38" s="64"/>
      <c r="X38" s="15">
        <v>0.4</v>
      </c>
      <c r="Y38" s="28">
        <f>S36/(1+$L$2*X38)</f>
        <v>0</v>
      </c>
      <c r="Z38" s="15"/>
      <c r="AA38" s="5"/>
    </row>
    <row r="39" spans="1:27" x14ac:dyDescent="0.25">
      <c r="H39" s="15">
        <v>0.6</v>
      </c>
      <c r="I39" s="5"/>
      <c r="J39" s="5"/>
      <c r="K39" s="5"/>
      <c r="L39" s="30">
        <f>IF($E$20&gt;$D$8,$B$2*(1-L$35)+$B$2*$E$2*(1-L$35)+$L$2*$Y$39*(L$35-$H39),IF($E$20*(1-$O$2)&gt;$P$2,$E$20*(1-$O$2)-$P$2,0))</f>
        <v>0</v>
      </c>
      <c r="M39" s="30">
        <f>IF($E$20&gt;$D$9,$B$2*(1-M$35)+$B$2*$E$2*(1-M$35)+$L$2*$Y$40*(M$35-$H39),IF($E$20*(1-$O$2)&gt;$P$2,$E$20*(1-$O$2)-$P$2,0))</f>
        <v>0</v>
      </c>
      <c r="N39" s="32">
        <f>IF(E20&gt;D11,$B$2*(1-N$35)+$B$2*$E$2*(1-N$35)+$L$2*$Y$41*(N$35-$H39),IF(E20*(1-$O$2)&gt;$P$2,E20*(1-$O$2)-$P$2,0))</f>
        <v>16.865335139504271</v>
      </c>
      <c r="O39" s="30">
        <f t="shared" si="6"/>
        <v>3.4281805472398776</v>
      </c>
      <c r="P39" s="15">
        <v>0.6</v>
      </c>
      <c r="Q39" s="145"/>
      <c r="R39" s="145"/>
      <c r="S39" s="145"/>
      <c r="T39" s="145"/>
      <c r="U39" s="145"/>
      <c r="V39" s="145"/>
      <c r="W39" s="64"/>
      <c r="X39" s="15">
        <v>0.6</v>
      </c>
      <c r="Y39" s="28">
        <f>T36/(1+$L$2*X39)</f>
        <v>0</v>
      </c>
      <c r="Z39" s="15"/>
      <c r="AA39" s="5"/>
    </row>
    <row r="40" spans="1:27" x14ac:dyDescent="0.25">
      <c r="H40" s="15">
        <v>0.8</v>
      </c>
      <c r="I40" s="5"/>
      <c r="J40" s="5"/>
      <c r="K40" s="5"/>
      <c r="L40" s="5"/>
      <c r="M40" s="30">
        <f>IF($E$20&gt;$D$9,$B$2*(1-M$35)+$B$2*$E$2*(1-M$35)+$L$2*$Y$40*(M$35-$H40),IF($E$20*(1-$O$2)&gt;$P$2,$E$20*(1-$O$2)-$P$2,0))</f>
        <v>0</v>
      </c>
      <c r="N40" s="32">
        <f>IF(E20&gt;D11,$B$2*(1-N$35)+$B$2*$E$2*(1-N$35)+$L$2*Y41*(N$35-$H40),IF(E20*(1-$O$2)&gt;$P$2,E20*(1-$O$2)-$P$2,0))</f>
        <v>16.810889189917383</v>
      </c>
      <c r="O40" s="30">
        <f t="shared" si="6"/>
        <v>1.7140902736199382</v>
      </c>
      <c r="P40" s="15">
        <v>0.8</v>
      </c>
      <c r="Q40" s="145"/>
      <c r="R40" s="145"/>
      <c r="S40" s="145"/>
      <c r="T40" s="145"/>
      <c r="U40" s="145"/>
      <c r="V40" s="145"/>
      <c r="W40" s="64"/>
      <c r="X40" s="15">
        <v>0.8</v>
      </c>
      <c r="Y40" s="28">
        <f>U36/(1+$L$2*X40)</f>
        <v>0</v>
      </c>
      <c r="Z40" s="15"/>
      <c r="AA40" s="5"/>
    </row>
    <row r="41" spans="1:27" x14ac:dyDescent="0.25">
      <c r="H41" s="15">
        <v>0.84</v>
      </c>
      <c r="I41" s="5"/>
      <c r="J41" s="5"/>
      <c r="K41" s="5"/>
      <c r="L41" s="5"/>
      <c r="M41" s="30"/>
      <c r="N41" s="32">
        <f>IF(E20&gt;D11,$B$2*(1-N$35)+$B$2*$E$2*(1-N$35)+$L$2*Y41*(N$35-$H41),IF(E20*(1-$O$2)&gt;$P$2,E20*(1-$O$2)-$P$2,0))</f>
        <v>16.800000000000004</v>
      </c>
      <c r="O41" s="30">
        <f t="shared" si="6"/>
        <v>1.3712722188959512</v>
      </c>
      <c r="P41" s="15">
        <v>0.84</v>
      </c>
      <c r="Q41" s="145"/>
      <c r="R41" s="145"/>
      <c r="S41" s="145"/>
      <c r="T41" s="145"/>
      <c r="U41" s="145"/>
      <c r="V41" s="145"/>
      <c r="W41" s="64"/>
      <c r="X41" s="15">
        <v>0.84</v>
      </c>
      <c r="Y41" s="28">
        <f>V36/(1+$L$2*X41)</f>
        <v>0.2722297479344471</v>
      </c>
      <c r="Z41" s="15"/>
      <c r="AA41" s="5"/>
    </row>
    <row r="42" spans="1:27" x14ac:dyDescent="0.25">
      <c r="B42" s="147" t="s">
        <v>109</v>
      </c>
      <c r="C42" s="147"/>
      <c r="D42" s="147"/>
      <c r="E42" s="147"/>
      <c r="F42" s="147"/>
      <c r="H42" s="15">
        <v>1</v>
      </c>
      <c r="I42" s="5"/>
      <c r="J42" s="5"/>
      <c r="K42" s="5"/>
      <c r="L42" s="5"/>
      <c r="M42" s="5"/>
      <c r="N42" s="5"/>
      <c r="O42" s="32">
        <f t="shared" si="6"/>
        <v>0</v>
      </c>
      <c r="P42" s="15">
        <v>1</v>
      </c>
      <c r="X42" s="15">
        <v>1</v>
      </c>
      <c r="Y42" s="28">
        <f>W36/(1+$L$2*X42)</f>
        <v>8.5704513680996932</v>
      </c>
      <c r="Z42" s="15"/>
      <c r="AA42" s="5"/>
    </row>
    <row r="43" spans="1:27" x14ac:dyDescent="0.25">
      <c r="A43" s="16" t="s">
        <v>60</v>
      </c>
      <c r="B43" s="16"/>
      <c r="C43" s="16"/>
      <c r="D43" s="16"/>
      <c r="E43" s="16"/>
      <c r="F43" s="16"/>
      <c r="G43" s="16"/>
    </row>
    <row r="44" spans="1:27" x14ac:dyDescent="0.25">
      <c r="A44" s="16" t="s">
        <v>59</v>
      </c>
      <c r="B44" s="16"/>
      <c r="C44" s="16"/>
      <c r="D44" s="16"/>
      <c r="E44" s="16"/>
      <c r="F44" s="16"/>
      <c r="G44" s="16"/>
    </row>
    <row r="45" spans="1:27" x14ac:dyDescent="0.25">
      <c r="A45" s="36">
        <f>($J$2*I9+$K$2*AG9)*EXP(-$M$2*$N$2)</f>
        <v>103.321523434127</v>
      </c>
      <c r="B45" s="16"/>
      <c r="C45" s="16"/>
      <c r="D45" s="16"/>
      <c r="E45" s="16"/>
      <c r="F45" s="16"/>
      <c r="G45" s="16"/>
    </row>
    <row r="46" spans="1:27" x14ac:dyDescent="0.25">
      <c r="A46" s="16" t="s">
        <v>58</v>
      </c>
      <c r="B46" s="17">
        <v>0</v>
      </c>
      <c r="C46" s="17">
        <v>0.2</v>
      </c>
      <c r="D46" s="17">
        <v>0.4</v>
      </c>
      <c r="E46" s="17">
        <v>0.6</v>
      </c>
      <c r="F46" s="17">
        <v>0.8</v>
      </c>
      <c r="G46" s="17">
        <v>1</v>
      </c>
    </row>
    <row r="47" spans="1:27" x14ac:dyDescent="0.25">
      <c r="A47" s="16"/>
      <c r="B47" s="16">
        <f>($J$2*Y11+$K$2*AW11)*EXP(-$M$2*$N$2)</f>
        <v>116.18433428271489</v>
      </c>
      <c r="C47" s="16">
        <f>($J$2*Z12+$K$2*AX12)*EXP(-$M$2*$N$2)</f>
        <v>93.840439366767612</v>
      </c>
      <c r="D47" s="16">
        <f>($J$2*AA13+$K$2*AY13)*EXP(-$M$2*$N$2)</f>
        <v>71.496544450820323</v>
      </c>
      <c r="E47" s="16">
        <f>($J$2*AB14+$K$2*AZ14)*EXP(-$M$2*$N$2)</f>
        <v>49.152649534873049</v>
      </c>
      <c r="F47" s="16">
        <f>($J$2*AC15+$K$2*BA15)*EXP(-$M$2*$N$2)</f>
        <v>26.808754618925768</v>
      </c>
      <c r="G47" s="16">
        <f>($J$2*AD16+$K$2*BB16)*EXP(-$M$2*$N$2)</f>
        <v>0</v>
      </c>
    </row>
    <row r="48" spans="1:27" x14ac:dyDescent="0.25">
      <c r="A48" s="16" t="s">
        <v>57</v>
      </c>
      <c r="B48" s="17">
        <v>0</v>
      </c>
      <c r="C48" s="17">
        <v>0.2</v>
      </c>
      <c r="D48" s="17">
        <v>0.4</v>
      </c>
      <c r="E48" s="17">
        <v>0.6</v>
      </c>
      <c r="F48" s="17">
        <v>0.8</v>
      </c>
      <c r="G48" s="17">
        <v>1</v>
      </c>
    </row>
    <row r="49" spans="1:7" x14ac:dyDescent="0.25">
      <c r="A49" s="16"/>
      <c r="B49" s="16">
        <f>($W11*(1+B$46-0)*$J$2+$AU11*(1+B$46-0)*$K$2)*EXP(-$M$2*$N$2)</f>
        <v>94.843789679858702</v>
      </c>
      <c r="C49" s="16">
        <f>($W12*(1+C$46-0)*$J$2+$AU12*(1+C$46-0)*$K$2)*EXP(-$M$2*$N$2)</f>
        <v>116.91146090824911</v>
      </c>
      <c r="D49" s="16">
        <f>($W13*(1+D$46-0)*$J$2+$AU13*(1+D$46-0)*$K$2)*EXP(-$M$2*$N$2)</f>
        <v>138.97913213663955</v>
      </c>
      <c r="E49" s="16">
        <f>($W14*(1+E$46-0)*$J$2+$AU14*(1+E$46-0)*$K$2)*EXP(-$M$2*$N$2)</f>
        <v>161.04680336502997</v>
      </c>
      <c r="F49" s="16">
        <f>($W15*(1+F$46-0)*$J$2+$AU15*(1+F$46-0)*$K$2)*EXP(-$M$2*$N$2)</f>
        <v>183.11447459342037</v>
      </c>
      <c r="G49" s="16">
        <f>($W16*(1+G$46-0)*$J$2+$AU16*(1+G$46-0)*$K$2)*EXP(-$M$2*$N$2)</f>
        <v>205.18214582181079</v>
      </c>
    </row>
    <row r="50" spans="1:7" x14ac:dyDescent="0.25">
      <c r="A50" s="16" t="s">
        <v>56</v>
      </c>
      <c r="B50" s="17">
        <v>0</v>
      </c>
      <c r="C50" s="17">
        <v>0.2</v>
      </c>
      <c r="D50" s="17">
        <v>0.4</v>
      </c>
      <c r="E50" s="17">
        <v>0.6</v>
      </c>
      <c r="F50" s="17">
        <v>0.8</v>
      </c>
      <c r="G50" s="17">
        <v>1</v>
      </c>
    </row>
    <row r="51" spans="1:7" x14ac:dyDescent="0.25">
      <c r="A51" s="16"/>
      <c r="B51" s="16">
        <f t="shared" ref="B51:G51" si="8">B49/(1+B50*$L$2)</f>
        <v>94.843789679858702</v>
      </c>
      <c r="C51" s="16">
        <f t="shared" si="8"/>
        <v>97.426217423540933</v>
      </c>
      <c r="D51" s="16">
        <f t="shared" si="8"/>
        <v>99.270808669028256</v>
      </c>
      <c r="E51" s="16">
        <f t="shared" si="8"/>
        <v>100.65425210314373</v>
      </c>
      <c r="F51" s="16">
        <f t="shared" si="8"/>
        <v>101.73026366301131</v>
      </c>
      <c r="G51" s="16">
        <f t="shared" si="8"/>
        <v>102.5910729109054</v>
      </c>
    </row>
    <row r="52" spans="1:7" x14ac:dyDescent="0.25">
      <c r="A52" s="16" t="s">
        <v>55</v>
      </c>
      <c r="B52" s="17">
        <v>0</v>
      </c>
      <c r="C52" s="17">
        <v>0.2</v>
      </c>
      <c r="D52" s="17">
        <v>0.4</v>
      </c>
      <c r="E52" s="17">
        <v>0.6</v>
      </c>
      <c r="F52" s="17">
        <v>0.8</v>
      </c>
      <c r="G52" s="17">
        <v>1</v>
      </c>
    </row>
    <row r="53" spans="1:7" x14ac:dyDescent="0.25">
      <c r="A53" s="16"/>
      <c r="B53" s="25">
        <f t="shared" ref="B53:G53" si="9">B47+B52*$L$2*B51</f>
        <v>116.18433428271489</v>
      </c>
      <c r="C53" s="65">
        <f t="shared" si="9"/>
        <v>113.3256828514758</v>
      </c>
      <c r="D53" s="18">
        <f t="shared" si="9"/>
        <v>111.20486791843163</v>
      </c>
      <c r="E53" s="18">
        <f t="shared" si="9"/>
        <v>109.54520079675929</v>
      </c>
      <c r="F53" s="18">
        <f t="shared" si="9"/>
        <v>108.19296554933482</v>
      </c>
      <c r="G53" s="18">
        <f t="shared" si="9"/>
        <v>102.5910729109054</v>
      </c>
    </row>
  </sheetData>
  <mergeCells count="9">
    <mergeCell ref="AW9:BA9"/>
    <mergeCell ref="Y9:AC9"/>
    <mergeCell ref="B42:F42"/>
    <mergeCell ref="Q37:V41"/>
    <mergeCell ref="AN12:AS16"/>
    <mergeCell ref="A3:D3"/>
    <mergeCell ref="P12:U16"/>
    <mergeCell ref="P21:U25"/>
    <mergeCell ref="P29:U33"/>
  </mergeCells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"/>
  <sheetViews>
    <sheetView topLeftCell="A36" zoomScale="64" zoomScaleNormal="64" workbookViewId="0">
      <selection activeCell="A43" sqref="A43"/>
    </sheetView>
  </sheetViews>
  <sheetFormatPr defaultRowHeight="16.5" x14ac:dyDescent="0.25"/>
  <cols>
    <col min="3" max="3" width="9.125" bestFit="1" customWidth="1"/>
    <col min="7" max="7" width="12.125" bestFit="1" customWidth="1"/>
    <col min="9" max="9" width="9.5" customWidth="1"/>
    <col min="10" max="14" width="10" bestFit="1" customWidth="1"/>
    <col min="15" max="15" width="15" bestFit="1" customWidth="1"/>
    <col min="16" max="16" width="12" customWidth="1"/>
    <col min="18" max="18" width="13.375" bestFit="1" customWidth="1"/>
    <col min="23" max="23" width="9.625" bestFit="1" customWidth="1"/>
    <col min="31" max="31" width="9.5" bestFit="1" customWidth="1"/>
  </cols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49</v>
      </c>
      <c r="L1" t="s">
        <v>16</v>
      </c>
      <c r="M1" s="26" t="s">
        <v>17</v>
      </c>
      <c r="N1" t="s">
        <v>18</v>
      </c>
      <c r="O1" t="s">
        <v>24</v>
      </c>
      <c r="P1" s="26" t="s">
        <v>29</v>
      </c>
      <c r="Q1" t="s">
        <v>30</v>
      </c>
      <c r="R1" t="s">
        <v>48</v>
      </c>
    </row>
    <row r="2" spans="1:54" x14ac:dyDescent="0.25">
      <c r="A2">
        <v>100</v>
      </c>
      <c r="B2">
        <v>100</v>
      </c>
      <c r="C2">
        <v>0.2</v>
      </c>
      <c r="D2">
        <v>0.08</v>
      </c>
      <c r="E2">
        <v>0.05</v>
      </c>
      <c r="G2">
        <v>0.46</v>
      </c>
      <c r="H2">
        <f>EXP(G2*SQRT(N2))</f>
        <v>1.5840739849944818</v>
      </c>
      <c r="I2">
        <f>1/H2</f>
        <v>0.63128364550692595</v>
      </c>
      <c r="J2">
        <f>(EXP((M2-R2)*N2)-I2)/(H2-I2)</f>
        <v>0.42981872476343574</v>
      </c>
      <c r="K2">
        <f>1-J2</f>
        <v>0.57018127523656426</v>
      </c>
      <c r="L2">
        <v>1</v>
      </c>
      <c r="M2" s="26">
        <v>0.06</v>
      </c>
      <c r="N2">
        <v>1</v>
      </c>
      <c r="O2">
        <v>0.2</v>
      </c>
      <c r="P2" s="26">
        <f>$A$2+$A$2*$D$2*$N$2</f>
        <v>108</v>
      </c>
      <c r="Q2">
        <f>P2*EXP(-$M$2*$N$2)+$A$2*$D$2*$N$2</f>
        <v>109.71056962709886</v>
      </c>
      <c r="R2">
        <v>0.02</v>
      </c>
    </row>
    <row r="3" spans="1:54" x14ac:dyDescent="0.25">
      <c r="A3" s="147" t="s">
        <v>23</v>
      </c>
      <c r="B3" s="147"/>
      <c r="C3" s="147"/>
      <c r="D3" s="147"/>
      <c r="E3" s="21"/>
      <c r="F3" s="21"/>
    </row>
    <row r="4" spans="1:54" x14ac:dyDescent="0.25">
      <c r="A4" s="3"/>
      <c r="B4" t="s">
        <v>25</v>
      </c>
      <c r="C4" t="s">
        <v>26</v>
      </c>
      <c r="D4" t="s">
        <v>27</v>
      </c>
    </row>
    <row r="5" spans="1:54" x14ac:dyDescent="0.25">
      <c r="A5" s="3">
        <v>0</v>
      </c>
      <c r="B5">
        <v>0</v>
      </c>
      <c r="C5" s="27">
        <f t="shared" ref="C5:C11" si="0">$A$2*(1-$C$2)*$D$2*$N$2+$B$2*(1-A5)*(1-$C$2)*$E$2*$N$2</f>
        <v>10.4</v>
      </c>
      <c r="D5" s="26">
        <f t="shared" ref="D5:D11" si="1">$A$2+$B$2*(1-A5)+$A$2*(1-$C$2)*$D$2*$N$2+$B$2*(1-A5)*(1-$C$2)*$E$2*$N$2</f>
        <v>210.4</v>
      </c>
    </row>
    <row r="6" spans="1:54" x14ac:dyDescent="0.25">
      <c r="A6" s="3">
        <v>0.2</v>
      </c>
      <c r="B6">
        <v>0</v>
      </c>
      <c r="C6" s="27">
        <f t="shared" si="0"/>
        <v>9.6000000000000014</v>
      </c>
      <c r="D6" s="26">
        <f t="shared" si="1"/>
        <v>189.6</v>
      </c>
    </row>
    <row r="7" spans="1:54" x14ac:dyDescent="0.25">
      <c r="A7" s="3">
        <v>0.4</v>
      </c>
      <c r="B7">
        <v>0</v>
      </c>
      <c r="C7" s="27">
        <f t="shared" si="0"/>
        <v>8.8000000000000007</v>
      </c>
      <c r="D7" s="26">
        <f t="shared" si="1"/>
        <v>168.8</v>
      </c>
    </row>
    <row r="8" spans="1:54" x14ac:dyDescent="0.25">
      <c r="A8" s="3">
        <v>0.6</v>
      </c>
      <c r="B8">
        <v>0</v>
      </c>
      <c r="C8" s="27">
        <f t="shared" si="0"/>
        <v>8</v>
      </c>
      <c r="D8" s="26">
        <f t="shared" si="1"/>
        <v>148</v>
      </c>
    </row>
    <row r="9" spans="1:54" x14ac:dyDescent="0.25">
      <c r="A9" s="3">
        <v>0.8</v>
      </c>
      <c r="B9">
        <v>0</v>
      </c>
      <c r="C9" s="27">
        <f t="shared" si="0"/>
        <v>7.2</v>
      </c>
      <c r="D9" s="26">
        <f t="shared" si="1"/>
        <v>127.2</v>
      </c>
      <c r="G9" t="s">
        <v>10</v>
      </c>
      <c r="H9" t="s">
        <v>11</v>
      </c>
      <c r="I9" s="33">
        <f>($J$2*N$18+$K$2*K26)*EXP(-$M$2*$N$2)+$A$2*$D$2</f>
        <v>109.71056962709886</v>
      </c>
      <c r="J9" s="33">
        <f>($J$2*N$18+$K$2*K26)*EXP(-$M$2*$N$2)+$A$2*$D$2</f>
        <v>109.71056962709886</v>
      </c>
      <c r="K9" s="33">
        <f>($J$2*N$18+$K$2*L26)*EXP(-$M$2*$N$2)+$A$2*$D$2</f>
        <v>109.71056962709886</v>
      </c>
      <c r="L9" s="33">
        <f>($J$2*N$18+$K$2*M26)*EXP(-$M$2*$N$2)+$A$2*$D$2</f>
        <v>109.71056962709886</v>
      </c>
      <c r="M9" s="33">
        <f>($J$2*N$18+$K$2*M26)*EXP(-$M$2*$N$2)+$A$2*$D$2</f>
        <v>109.71056962709886</v>
      </c>
      <c r="N9" s="33">
        <f>($J$2*N$18+$K$2*N26)*EXP(-$M$2*$N$2)+$A$2*$D$2</f>
        <v>109.71056962709886</v>
      </c>
      <c r="Y9" s="147"/>
      <c r="Z9" s="147"/>
      <c r="AA9" s="147"/>
      <c r="AB9" s="147"/>
      <c r="AC9" s="147"/>
      <c r="AE9" t="s">
        <v>19</v>
      </c>
      <c r="AF9" s="26" t="s">
        <v>11</v>
      </c>
      <c r="AG9" s="26">
        <f>($J$2*K26+$K$2*N34)*EXP(-$M$2*$N$2)+$A$2*$D$2</f>
        <v>109.71056962709886</v>
      </c>
      <c r="AH9" s="26">
        <f>($J$2*K26+$K$2*N34)*EXP(-$M$2*$N$2)+$A$2*$D$2</f>
        <v>109.71056962709886</v>
      </c>
      <c r="AI9" s="26">
        <f>($J$2*L26+$K$2*N34)*EXP(-$M$2*$N$2)+$A$2*$D$2</f>
        <v>109.71056962709886</v>
      </c>
      <c r="AJ9" s="26">
        <f>($J$2*M26+$K$2*N34)*EXP(-$M$2*$N$2)+$A$2*$D$2</f>
        <v>109.71056962709886</v>
      </c>
      <c r="AK9" s="26">
        <f>($J$2*M$26+$K$2*N34)*EXP(-$M$2*$N$2)+$A$2*$D$2</f>
        <v>109.71056962709886</v>
      </c>
      <c r="AL9" s="26">
        <f>($J$2*N$26+$K$2*O$34)*EXP(-$M$2*$N$2)+$A$2*$D$2</f>
        <v>109.71056962709886</v>
      </c>
      <c r="AW9" s="147"/>
      <c r="AX9" s="147"/>
      <c r="AY9" s="147"/>
      <c r="AZ9" s="147"/>
      <c r="BA9" s="147"/>
    </row>
    <row r="10" spans="1:54" x14ac:dyDescent="0.25">
      <c r="A10" s="3">
        <v>1</v>
      </c>
      <c r="B10">
        <v>0</v>
      </c>
      <c r="C10" s="27">
        <f t="shared" si="0"/>
        <v>6.4</v>
      </c>
      <c r="D10" s="26">
        <f t="shared" si="1"/>
        <v>106.4</v>
      </c>
      <c r="G10" s="6"/>
      <c r="H10" s="8" t="s">
        <v>13</v>
      </c>
      <c r="I10" s="8">
        <v>0</v>
      </c>
      <c r="J10" s="8">
        <v>0.2</v>
      </c>
      <c r="K10" s="8">
        <v>0.4</v>
      </c>
      <c r="L10" s="8">
        <v>0.6</v>
      </c>
      <c r="M10" s="8">
        <v>0.8</v>
      </c>
      <c r="N10" s="8">
        <v>1</v>
      </c>
      <c r="O10" s="8" t="s">
        <v>14</v>
      </c>
      <c r="P10" s="8">
        <v>0</v>
      </c>
      <c r="Q10" s="8">
        <v>0.2</v>
      </c>
      <c r="R10" s="8">
        <v>0.4</v>
      </c>
      <c r="S10" s="8">
        <v>0.6</v>
      </c>
      <c r="T10" s="8">
        <v>0.8</v>
      </c>
      <c r="U10" s="8">
        <v>1</v>
      </c>
      <c r="V10" s="6" t="s">
        <v>15</v>
      </c>
      <c r="W10" s="6"/>
      <c r="X10" s="6" t="s">
        <v>19</v>
      </c>
      <c r="Y10" s="8">
        <v>0</v>
      </c>
      <c r="Z10" s="8">
        <v>0.2</v>
      </c>
      <c r="AA10" s="8">
        <v>0.4</v>
      </c>
      <c r="AB10" s="8">
        <v>0.6</v>
      </c>
      <c r="AC10" s="8">
        <v>0.8</v>
      </c>
      <c r="AD10" s="8">
        <v>1</v>
      </c>
      <c r="AE10" s="9" t="s">
        <v>11</v>
      </c>
      <c r="AF10" s="10" t="s">
        <v>13</v>
      </c>
      <c r="AG10" s="10">
        <v>0</v>
      </c>
      <c r="AH10" s="10">
        <v>0.2</v>
      </c>
      <c r="AI10" s="10">
        <v>0.4</v>
      </c>
      <c r="AJ10" s="10">
        <v>0.6</v>
      </c>
      <c r="AK10" s="10">
        <v>0.8</v>
      </c>
      <c r="AL10" s="10">
        <v>1</v>
      </c>
      <c r="AM10" s="10" t="s">
        <v>14</v>
      </c>
      <c r="AN10" s="10">
        <v>0</v>
      </c>
      <c r="AO10" s="10">
        <v>0.2</v>
      </c>
      <c r="AP10" s="10">
        <v>0.4</v>
      </c>
      <c r="AQ10" s="10">
        <v>0.6</v>
      </c>
      <c r="AR10" s="10">
        <v>0.8</v>
      </c>
      <c r="AS10" s="10">
        <v>1</v>
      </c>
      <c r="AT10" s="9" t="s">
        <v>15</v>
      </c>
      <c r="AU10" s="9"/>
      <c r="AV10" s="9" t="s">
        <v>19</v>
      </c>
      <c r="AW10" s="10">
        <v>0</v>
      </c>
      <c r="AX10" s="10">
        <v>0.2</v>
      </c>
      <c r="AY10" s="10">
        <v>0.4</v>
      </c>
      <c r="AZ10" s="10">
        <v>0.6</v>
      </c>
      <c r="BA10" s="10">
        <v>0.8</v>
      </c>
      <c r="BB10" s="10">
        <v>1</v>
      </c>
    </row>
    <row r="11" spans="1:54" x14ac:dyDescent="0.25">
      <c r="A11" s="3">
        <v>0.82</v>
      </c>
      <c r="C11" s="27">
        <f t="shared" si="0"/>
        <v>7.120000000000001</v>
      </c>
      <c r="D11" s="26">
        <f t="shared" si="1"/>
        <v>125.12</v>
      </c>
      <c r="H11" s="8">
        <v>0</v>
      </c>
      <c r="I11" s="6">
        <f>($J$2*N20+$K$2*K28)*EXP(-$M$2*$N$2)+$B$2*(1-I10)*$E$2</f>
        <v>200.53747896497748</v>
      </c>
      <c r="J11" s="6">
        <f>($J$2*N21+$K$2*K29)*EXP(-$M$2*$N$2)+$B$2*(1-J10)*$E$2</f>
        <v>160.40869978266014</v>
      </c>
      <c r="K11" s="6">
        <f>($J$2*N22+$K$2*L30)*EXP(-$M$2*$N$2)+$B$2*(1-K10)*$E$2</f>
        <v>120.29753446386886</v>
      </c>
      <c r="L11" s="6">
        <f>($J$2*N23+$K$2*M31)*EXP(-$M$2*$N$2)+$B$2*(1-L10)*$E$2</f>
        <v>80.190337689968771</v>
      </c>
      <c r="M11" s="6">
        <f>($J$2*N24+$K$2*M32)*EXP(-$M$2*$N$2)+$B$2*(1-M10)*$E$2</f>
        <v>40.093306866780914</v>
      </c>
      <c r="N11" s="6">
        <f>($J$2*N25+$K$2*N33)*EXP(-$M$2*$N$2)+$B$2*(1-N10)*$E$2</f>
        <v>0</v>
      </c>
      <c r="O11" s="8">
        <v>0</v>
      </c>
      <c r="P11" s="34">
        <f>MAX(($W25*(1+L2*P10)*$J$2+W30*(1+L2*P10)*$K$2)*EXP(-$M$2*$N$2)+C24-$A$2*$D$2*(1-$C$2)-$B$2*$E$2*(1-P10)*(1-$C$2),0)</f>
        <v>195.16402524309439</v>
      </c>
      <c r="Q11" s="34">
        <f>MAX(($W25*(1+L2*Q10)*$J$2+W30*(1+L2*Q10)*$K$2)*EXP(-$M$2*$N$2)+C24-$A$2*$D$2*(1-$C$2)-$B$2*$E$2*(1-Q10)*(1-$C$2),0)</f>
        <v>235.09280442541177</v>
      </c>
      <c r="R11" s="34">
        <f>MAX(($W25*(1+L2*R10)*$J$2+W31*(1+L2*R10)*$K$2)*EXP(-$M$2*$N$2)+C24-$A$2*$D$2*(1-$C$2)-$B$2*$E$2*(1-R10)*(1-$C$2),0)</f>
        <v>274.89657444365673</v>
      </c>
      <c r="S11" s="34">
        <f>MAX(($W25*(1+L2*S10)*$J$2+W32*(1+L2*S10)*$K$2)*EXP(-$M$2*$N$2)+C24-$A$2*$D$2*(1-$C$2)-$B$2*$E$2*(1-S10)*(1-$C$2),0)</f>
        <v>314.69637591701041</v>
      </c>
      <c r="T11" s="34">
        <f>MAX(($W25*(1+L2*T10)*$J$2+W32*(1+L2*T10)*$K$2)*EXP(-$M$2*$N$2)+C24-$A$2*$D$2*(1-$C$2)-$B$2*$E$2*(1-T10)*(1-$C$2),0)</f>
        <v>354.5934067401983</v>
      </c>
      <c r="U11" s="34">
        <f>MAX(($W25*(1+L2*U10)*$J$2+$W33*(1+L2*U10)*$K$2)*EXP(-$M$2*$N$2)+C24-$A$2*$D$2*(1-$C$2)-$B$2*$E$2*(1-U10)*(1-$C$2),0)</f>
        <v>394.37931830643288</v>
      </c>
      <c r="V11" s="8">
        <v>0</v>
      </c>
      <c r="W11" s="6">
        <f>P11/(1+V11*$L$2)</f>
        <v>195.16402524309439</v>
      </c>
      <c r="X11" s="8">
        <v>0</v>
      </c>
      <c r="Y11" s="69">
        <f>IF(P11&gt;0,I11+(Y10-$X$11)*$L$2*W11,MAX((1-$O$2)*($C$14+$C$24)-I9,0))</f>
        <v>200.53747896497748</v>
      </c>
      <c r="Z11" s="68">
        <f>IF(Q11&gt;0,J11+(Z10-$X$11)*$L$2*W12,MAX((1-$O$2)*($C$14+$C$24)-J9,0))</f>
        <v>199.59083385356212</v>
      </c>
      <c r="AA11" s="41">
        <f>IF(R11&gt;0,K11+(AA10-$X$11)*$L$2*W13,MAX((1-$O$2)*($C$14+$C$24)-K9,0))</f>
        <v>198.83941287634221</v>
      </c>
      <c r="AB11" s="41">
        <f>IF(S11&gt;0,L11+(AB10-$X$11)*$L$2*W14,MAX((1-$O$2)*($C$14+$C$24-L9),0))</f>
        <v>198.20147865884766</v>
      </c>
      <c r="AC11" s="41">
        <f>IF(T11&gt;0,M11+(AC10-$X$11)*$L$2*W15,MAX((1-$O$2)*($C$14+$C$24)-M9,0))</f>
        <v>197.69037652909128</v>
      </c>
      <c r="AD11" s="41">
        <f>IF(U11&gt;0,N11+(AD10-$X$11)*$L$2*W16,MAX((1-$O$2)*($C$14+$C$24)-N9,0))</f>
        <v>197.18965915321644</v>
      </c>
      <c r="AE11" s="11"/>
      <c r="AF11" s="10">
        <v>0</v>
      </c>
      <c r="AG11" s="37">
        <f>(K28*$J$2+N36*$K$2)*EXP(-$M$2*$N$2)+$B$2*(1-AG10)*$E$2</f>
        <v>57.92683501245012</v>
      </c>
      <c r="AH11" s="9">
        <f>(K29*$J$2+N37*$K$2)*EXP(-$M$2*$N$2)+$B$2*(1-AH10)*$E$2</f>
        <v>48.345459550382891</v>
      </c>
      <c r="AI11" s="9">
        <f>(L30*$J$2+N38*$K$2)*EXP(-$M$2*$N$2)+$B$2*(1-AI10)*$E$2</f>
        <v>38.777361915364267</v>
      </c>
      <c r="AJ11" s="9">
        <f>(M31*$J$2+N39*$K$2)*EXP(-$M$2*$N$2)+$B$2*(1-AJ10)*$E$2</f>
        <v>29.212255881400225</v>
      </c>
      <c r="AK11" s="9">
        <f>(M32*$J$2+N40*$K$2)*EXP(-$M$2*$N$2)+$B$2*(1-AK10)*$E$2</f>
        <v>19.654813227769605</v>
      </c>
      <c r="AL11" s="9">
        <f>(N33*$J$2+O42*$K$2)*EXP(-$M$2*$N$2)+$B$2*(1-AL10)*$E$2</f>
        <v>0</v>
      </c>
      <c r="AM11" s="10">
        <v>0</v>
      </c>
      <c r="AN11" s="35">
        <f>MAX((W30*(1+L2*AN10)*$J$2+Y41*(1+L2*AN10)*$K$2)*EXP(-$M$2*$N$2)+C28-$A$2*$D$2*(1-$C$2)-$B$2*$E$2*(1-AN10)*(1-$C$2),0)</f>
        <v>36.460237738962896</v>
      </c>
      <c r="AO11" s="35">
        <f>MAX((W30*(1+L2*AO10)*$J$2+Y41*(1+L2*AO10)*$K$2)*EXP(-$M$2*$N$2)+C28-$A$2*$D$2*(1-$C$2)-$B$2*$E$2*(1-AO10)*(1-$C$2),0)</f>
        <v>45.841613201030121</v>
      </c>
      <c r="AP11" s="35">
        <f>MAX((W31*(1+L2*AP10)*$J$2+Y41*(1+L2*AP10)*$K$2)*EXP(-$M$2*$N$2)+C28-$A$2*$D$2*(1-$C$2)-$B$2*$E$2*(1-AP10)*(1-$C$2),0)</f>
        <v>55.128753229878214</v>
      </c>
      <c r="AQ11" s="35">
        <f>MAX((W32*(1+L2*AQ10)*$J$2+Y41*(1+L2*AQ10)*$K$2)*EXP(-$M$2*$N$2)+C28-$A$2*$D$2*(1-$C$2)-$B$2*$E$2*(1-AQ10)*(1-$C$2),0)</f>
        <v>64.412901657671753</v>
      </c>
      <c r="AR11" s="35">
        <f>MAX((W32*(1+L2*AR10)*$J$2+Y41*(1+L2*AR10)*$K$2)*EXP(-$M$2*$N$2)+C28-$A$2*$D$2*(1-$C$2)-$B$2*$E$2*(1-AR10)*(1-$C$2),0)</f>
        <v>73.770344311302352</v>
      </c>
      <c r="AS11" s="35">
        <f>MAX(($W33*(1+L2*AS10)*$J$2+$Y42*(1+L2*AS10)*$K$2)*EXP(-$M$2*$N$2)+C28-$A$2*$D$2*(1-$C$2)-$B$2*$E$2*(1-AS10)*(1-$C$2),0)</f>
        <v>93.047544162409736</v>
      </c>
      <c r="AT11" s="10">
        <v>0</v>
      </c>
      <c r="AU11" s="9">
        <f>AN11/(1+$L$2*AT11)</f>
        <v>36.460237738962896</v>
      </c>
      <c r="AV11" s="10">
        <v>0</v>
      </c>
      <c r="AW11" s="24">
        <f>IF(AN11&gt;0,AG11+(AW10-$AV$11)*$L$2*AU11,MAX((1-$O$2)*($C$18+$C$28)-AG9,0))</f>
        <v>57.92683501245012</v>
      </c>
      <c r="AX11" s="67">
        <f>IF(AO11&gt;0,AH11+(AX10-$AV$11)*$L$2*AU12,MAX((1-$O$2)*($C$18+$C$28)-AH9,0))</f>
        <v>55.985728417221246</v>
      </c>
      <c r="AY11" s="67">
        <f>IF(AP11&gt;0,AI11+(AY10-$AV$11)*$L$2*AU13,MAX((1-$O$2)*($C$18+$C$28)-AI9,0))</f>
        <v>54.52843426675804</v>
      </c>
      <c r="AZ11" s="67">
        <f>IF(AQ11&gt;0,AJ11+(AZ10-$AV$11)*$L$2*AU14,MAX((1-$O$2)*($C$18+$C$28)-AJ9,0))</f>
        <v>53.367094003027134</v>
      </c>
      <c r="BA11" s="67">
        <f>IF(AR11&gt;0,AK11+(BA10-$AV$11)*$L$2*AU15,MAX((1-$O$2)*($C$18+$C$28)-AK9,0))</f>
        <v>52.441632921681759</v>
      </c>
      <c r="BB11" s="67">
        <f>IF(AS11&gt;0,AL11+(BB10-$AV$11)*$L$2*AU16,MAX((1-$O$2)*($C$18+$C$28)-AL9,0))</f>
        <v>46.523772081204868</v>
      </c>
    </row>
    <row r="12" spans="1:54" x14ac:dyDescent="0.25">
      <c r="E12" s="4">
        <f>C14*H2</f>
        <v>777.88002088025235</v>
      </c>
      <c r="G12" s="8"/>
      <c r="H12" s="8">
        <v>0.2</v>
      </c>
      <c r="I12" s="6"/>
      <c r="J12" s="6">
        <f>($J$2*N21+$K$2*K29)*EXP(-$M$2*$N$2)+$B$2*(1-J10)*$E$2</f>
        <v>160.40869978266014</v>
      </c>
      <c r="K12" s="6">
        <f>($J$2*N22+$K$2*L30)*EXP(-$M$2*$N$2)+$B$2*(1-K10)*$E$2</f>
        <v>120.29753446386886</v>
      </c>
      <c r="L12" s="6">
        <f>($J$2*N23+$K$2*M31)*EXP(-$M$2*$N$2)+$B$2*(1-L10)*$E$2</f>
        <v>80.190337689968771</v>
      </c>
      <c r="M12" s="6">
        <f>($J$2*N24+$K$2*M32)*EXP(-$M$2*$N$2)+$B$2*(1-M10)*$E$2</f>
        <v>40.093306866780914</v>
      </c>
      <c r="N12" s="6">
        <f>($J$2*N25+$K$2*N33)*EXP(-$M$2*$N$2)+$B$2*(1-N10)*$E$2</f>
        <v>0</v>
      </c>
      <c r="O12" s="8">
        <v>0.2</v>
      </c>
      <c r="P12" s="148" t="s">
        <v>73</v>
      </c>
      <c r="Q12" s="148"/>
      <c r="R12" s="148"/>
      <c r="S12" s="148"/>
      <c r="T12" s="148"/>
      <c r="U12" s="148"/>
      <c r="V12" s="8">
        <v>0.2</v>
      </c>
      <c r="W12" s="6">
        <f>Q11/(1+V12*$L$2)</f>
        <v>195.91067035450982</v>
      </c>
      <c r="X12" s="8">
        <v>0.2</v>
      </c>
      <c r="Y12" s="66"/>
      <c r="Z12" s="23">
        <f>IF(Q11&gt;0,J12+(Z10-$X$12)*$L$2*W12,MAX((1-$O$2)*($C$14+$C$24)-J9,0))</f>
        <v>160.40869978266014</v>
      </c>
      <c r="AA12" s="19">
        <f>IF(R11&gt;0,K12+(AA10-$X$12)*$L$2*W13,MAX((1-$O$2)*($C$14+$C$24)-K9,0))</f>
        <v>159.56847367010553</v>
      </c>
      <c r="AB12" s="19">
        <f>IF(S11&gt;0,L12+(AB10-$X$12)*$L$2*W14,MAX((1-$O$2)*($C$14+$C$24)-L9,0))</f>
        <v>158.86443166922135</v>
      </c>
      <c r="AC12" s="19">
        <f>IF(T11&gt;0,M12+(AC10-$X$12)*$L$2*W15,MAX((1-$O$2)*($C$14+$C$24)-M9,0))</f>
        <v>158.2911091135137</v>
      </c>
      <c r="AD12" s="19">
        <f>IF(U11&gt;0,N12+(AD10-$X$12)*$L$2*W16,MAX((1-$O$2)*($C$14+$C$24)-N9,0))</f>
        <v>157.75172732257317</v>
      </c>
      <c r="AE12" s="10"/>
      <c r="AF12" s="10">
        <v>0.2</v>
      </c>
      <c r="AG12" s="9"/>
      <c r="AH12" s="9">
        <f>(K29*$J$2+N37*$K$2)*EXP(-$M$2*$N$2)+$B$2*(1-AH10)*$E$2</f>
        <v>48.345459550382891</v>
      </c>
      <c r="AI12" s="9">
        <f>(L30*$J$2+N38*$K$2)*EXP(-$M$2*$N$2)+$B$2*(1-AI10)*$E$2</f>
        <v>38.777361915364267</v>
      </c>
      <c r="AJ12" s="9">
        <f>(M31*$J$2+N39*$K$2)*EXP(-$M$2*$N$2)+$B$2*(1-AJ10)*$E$2</f>
        <v>29.212255881400225</v>
      </c>
      <c r="AK12" s="9">
        <f>(M32*$J$2+N40*$K$2)*EXP(-$M$2*$N$2)+$B$2*(1-AK10)*$E$2</f>
        <v>19.654813227769605</v>
      </c>
      <c r="AL12" s="9">
        <f>(N33*$J$2+O42*$K$2)*EXP(-$M$2*$N$2)+$B$2*(1-AL10)*$E$2</f>
        <v>0</v>
      </c>
      <c r="AM12" s="10">
        <v>0.2</v>
      </c>
      <c r="AN12" s="146" t="s">
        <v>74</v>
      </c>
      <c r="AO12" s="146"/>
      <c r="AP12" s="146"/>
      <c r="AQ12" s="146"/>
      <c r="AR12" s="146"/>
      <c r="AS12" s="146"/>
      <c r="AT12" s="10">
        <v>0.2</v>
      </c>
      <c r="AU12" s="9">
        <f>AO11/(1+$L$2*AT12)</f>
        <v>38.201344334191766</v>
      </c>
      <c r="AV12" s="10">
        <v>0.2</v>
      </c>
      <c r="AW12" s="61"/>
      <c r="AX12" s="24">
        <f>IF(AO11&gt;0,AH12+(AX10-$AV$12)*$L$2*AU12,MAX((1-$O$2)*($C$18+$C$28)-AH9,0))</f>
        <v>48.345459550382891</v>
      </c>
      <c r="AY12" s="67">
        <f>IF(AP11&gt;0,AI12+(AY10-$AV$12)*$L$2*AU13,MAX((1-$O$2)*($C$18+$C$28)-AI9,0))</f>
        <v>46.652898091061154</v>
      </c>
      <c r="AZ12" s="67">
        <f>IF(AQ11&gt;0,AJ12+(AZ10-$AV$12)*$L$2*AU14,MAX((1-$O$2)*($C$18+$C$28)-AJ9,0))</f>
        <v>45.315481295818159</v>
      </c>
      <c r="BA12" s="67">
        <f>IF(AR11&gt;0,AK12+(BA10-$AV$12)*$L$2*AU15,MAX((1-$O$2)*($C$18+$C$28)-AK9,0))</f>
        <v>44.244927998203721</v>
      </c>
      <c r="BB12" s="67">
        <f>IF(AS11&gt;0,AL12+(BB10-$AV$12)*$L$2*AU16,MAX((1-$O$2)*($C$18+$C$28)-AL9,0))</f>
        <v>37.219017664963893</v>
      </c>
    </row>
    <row r="13" spans="1:54" x14ac:dyDescent="0.25">
      <c r="D13" s="1"/>
      <c r="G13" s="8"/>
      <c r="H13" s="8">
        <v>0.4</v>
      </c>
      <c r="I13" s="6"/>
      <c r="J13" s="6"/>
      <c r="K13" s="6">
        <f>($J$2*N22+$K$2*L30)*EXP(-$M$2*$N$2)+$B$2*(1-K10)*$E$2</f>
        <v>120.29753446386886</v>
      </c>
      <c r="L13" s="6">
        <f>($J$2*N23+$K$2*M31)*EXP(-$M$2*$N$2)+$B$2*(1-L10)*$E$2</f>
        <v>80.190337689968771</v>
      </c>
      <c r="M13" s="6">
        <f>($J$2*N24+$K$2*M32)*EXP(-$M$2*$N$2)+$B$2*(1-M10)*$E$2</f>
        <v>40.093306866780914</v>
      </c>
      <c r="N13" s="6">
        <f>($J$2*N25+$K$2*N33)*EXP(-$M$2*$N$2)+$B$2*(1-N10)*$E$2</f>
        <v>0</v>
      </c>
      <c r="O13" s="8">
        <v>0.4</v>
      </c>
      <c r="P13" s="148"/>
      <c r="Q13" s="148"/>
      <c r="R13" s="148"/>
      <c r="S13" s="148"/>
      <c r="T13" s="148"/>
      <c r="U13" s="148"/>
      <c r="V13" s="8">
        <v>0.4</v>
      </c>
      <c r="W13" s="6">
        <f>R11/(1+V13*$L$2)</f>
        <v>196.35469603118338</v>
      </c>
      <c r="X13" s="8">
        <v>0.4</v>
      </c>
      <c r="Y13" s="66"/>
      <c r="Z13" s="66"/>
      <c r="AA13" s="23">
        <f>IF(R11&gt;0,K13+(AA10-$X$13)*$L$2*W13,MAX((1-$O$2)*($C$14+$C$24)-K9,0))</f>
        <v>120.29753446386886</v>
      </c>
      <c r="AB13" s="19">
        <f>IF(S11&gt;0,L13+(AB10-$X$13)*$L$2*W14,MAX((1-$O$2)*($C$14+$C$24)-L9,0))</f>
        <v>119.52738467959506</v>
      </c>
      <c r="AC13" s="19">
        <f>IF(T11&gt;0,M13+(AC10-$X$13)*$L$2*W15,MAX((1-$O$2)*($C$14+$C$24)-M9,0))</f>
        <v>118.89184169793609</v>
      </c>
      <c r="AD13" s="19">
        <f>IF(U11&gt;0,N13+(AD10-$X$13)*$L$2*W16,MAX((1-$O$2)*($C$14+$C$24)-N9,0))</f>
        <v>118.31379549192985</v>
      </c>
      <c r="AE13" s="10"/>
      <c r="AF13" s="10">
        <v>0.4</v>
      </c>
      <c r="AG13" s="9"/>
      <c r="AH13" s="9"/>
      <c r="AI13" s="9">
        <f>(L30*$J$2+N38*$K$2)*EXP(-$M$2*$N$2)+$B$2*(1-AI10)*$E$2</f>
        <v>38.777361915364267</v>
      </c>
      <c r="AJ13" s="9">
        <f>(M31*$J$2+N39*$K$2)*EXP(-$M$2*$N$2)+$B$2*(1-AJ10)*$E$2</f>
        <v>29.212255881400225</v>
      </c>
      <c r="AK13" s="9">
        <f>(M32*$J$2+N40*$K$2)*EXP(-$M$2*$N$2)+$B$2*(1-AK10)*$E$2</f>
        <v>19.654813227769605</v>
      </c>
      <c r="AL13" s="9">
        <f>(N33*$J$2+O42*$K$2)*EXP(-$M$2*$N$2)+$B$2*(1-AL10)*$E$2</f>
        <v>0</v>
      </c>
      <c r="AM13" s="10">
        <v>0.4</v>
      </c>
      <c r="AN13" s="146"/>
      <c r="AO13" s="146"/>
      <c r="AP13" s="146"/>
      <c r="AQ13" s="146"/>
      <c r="AR13" s="146"/>
      <c r="AS13" s="146"/>
      <c r="AT13" s="10">
        <v>0.4</v>
      </c>
      <c r="AU13" s="9">
        <f>AP11/(1+$L$2*AT13)</f>
        <v>39.377680878484441</v>
      </c>
      <c r="AV13" s="10">
        <v>0.4</v>
      </c>
      <c r="AW13" s="61"/>
      <c r="AX13" s="67"/>
      <c r="AY13" s="24">
        <f>IF(AP11&gt;0,AI13+(AY10-$AV$13)*$L$2*AU13,MAX((1-$O$2)*($C$18+$C$28)-AI9,0))</f>
        <v>38.777361915364267</v>
      </c>
      <c r="AZ13" s="67">
        <f>IF(AQ11&gt;0,AJ13+(AZ10-$AV$13)*$L$2*AU14,MAX((1-$O$2)*($C$18+$C$28)-AJ9,0))</f>
        <v>37.263868588609192</v>
      </c>
      <c r="BA13" s="67">
        <f>IF(AR11&gt;0,AK13+(BA10-$AV$13)*$L$2*AU15,MAX((1-$O$2)*($C$18+$C$28)-AK9,0))</f>
        <v>36.048223074725684</v>
      </c>
      <c r="BB13" s="67">
        <f>IF(AS11&gt;0,AL13+(BB10-$AV$13)*$L$2*AU16,MAX((1-$O$2)*($C$18+$C$28)-AL9,0))</f>
        <v>27.914263248722921</v>
      </c>
    </row>
    <row r="14" spans="1:54" x14ac:dyDescent="0.25">
      <c r="C14" s="6">
        <f>A16*H2</f>
        <v>491.06293534828939</v>
      </c>
      <c r="G14" s="8"/>
      <c r="H14" s="8">
        <v>0.6</v>
      </c>
      <c r="I14" s="6"/>
      <c r="J14" s="6"/>
      <c r="K14" s="6"/>
      <c r="L14" s="6">
        <f>($J$2*N23+$K$2*M31)*EXP(-$M$2*$N$2)+$B$2*(1-L10)*$E$2</f>
        <v>80.190337689968771</v>
      </c>
      <c r="M14" s="6">
        <f>($J$2*N24+$K$2*M32)*EXP(-$M$2*$N$2)+$B$2*(1-M10)*$E$2</f>
        <v>40.093306866780914</v>
      </c>
      <c r="N14" s="6">
        <f>($J$2*N25+$K$2*N33)*EXP(-$M$2*$N$2)+$B$2*(1-N10)*$E$2</f>
        <v>0</v>
      </c>
      <c r="O14" s="8">
        <v>0.6</v>
      </c>
      <c r="P14" s="148"/>
      <c r="Q14" s="148"/>
      <c r="R14" s="148"/>
      <c r="S14" s="148"/>
      <c r="T14" s="148"/>
      <c r="U14" s="148"/>
      <c r="V14" s="8">
        <v>0.6</v>
      </c>
      <c r="W14" s="6">
        <f>S11/(1+V14*$L$2)</f>
        <v>196.68523494813149</v>
      </c>
      <c r="X14" s="8">
        <v>0.6</v>
      </c>
      <c r="Y14" s="66"/>
      <c r="Z14" s="66"/>
      <c r="AA14" s="66"/>
      <c r="AB14" s="23">
        <f>IF(S11&gt;0,L14+(AB10-$X$14)*$L$2*W14,MAX((1-$O$2)*($C$14+$C$24)-L9,0))</f>
        <v>80.190337689968771</v>
      </c>
      <c r="AC14" s="19">
        <f>IF(T11&gt;0,M14+(AC10-$X$14)*$L$2*W15,MAX((1-$O$2)*($C$14+$C$24)-M9,0))</f>
        <v>79.492574282358518</v>
      </c>
      <c r="AD14" s="19">
        <f>IF(U11&gt;0,N14+(AD10-$X$14)*$L$2*W16,MAX((1-$O$2)*($C$14+$C$24)-N9,0))</f>
        <v>78.875863661286587</v>
      </c>
      <c r="AE14" s="10"/>
      <c r="AF14" s="10">
        <v>0.6</v>
      </c>
      <c r="AG14" s="9"/>
      <c r="AH14" s="9"/>
      <c r="AI14" s="9"/>
      <c r="AJ14" s="9">
        <f>(M31*$J$2+N39*$K$2)*EXP(-$M$2*$N$2)+$B$2*(1-AJ10)*$E$2</f>
        <v>29.212255881400225</v>
      </c>
      <c r="AK14" s="9">
        <f>(M32*$J$2+N40*$K$2)*EXP(-$M$2*$N$2)+$B$2*(1-AK10)*$E$2</f>
        <v>19.654813227769605</v>
      </c>
      <c r="AL14" s="9">
        <f>(N33*$J$2+O42*$K$2)*EXP(-$M$2*$N$2)+$B$2*(1-AL10)*$E$2</f>
        <v>0</v>
      </c>
      <c r="AM14" s="10">
        <v>0.6</v>
      </c>
      <c r="AN14" s="146"/>
      <c r="AO14" s="146"/>
      <c r="AP14" s="146"/>
      <c r="AQ14" s="146"/>
      <c r="AR14" s="146"/>
      <c r="AS14" s="146"/>
      <c r="AT14" s="10">
        <v>0.6</v>
      </c>
      <c r="AU14" s="9">
        <f>AQ11/(1+$L$2*AT14)</f>
        <v>40.258063536044844</v>
      </c>
      <c r="AV14" s="10">
        <v>0.6</v>
      </c>
      <c r="AW14" s="61"/>
      <c r="AX14" s="61"/>
      <c r="AY14" s="61"/>
      <c r="AZ14" s="24">
        <f>IF(AQ11&gt;0,AJ14+(AZ10-$AV$14)*$L$2*AU14,MAX((1-$O$2)*($C$18+$C$28)-AJ9,0))</f>
        <v>29.212255881400225</v>
      </c>
      <c r="BA14" s="67">
        <f>IF(AR11&gt;0,AK14+(BA10-$AV$14)*$L$2*AU15,MAX((1-$O$2)*($C$18+$C$28)-AK9,0))</f>
        <v>27.851518151247646</v>
      </c>
      <c r="BB14" s="67">
        <f>IF(AS11&gt;0,AL14+(BB10-$AV$14)*$L$2*AU16,MAX((1-$O$2)*($C$18+$C$28)-AL9,0))</f>
        <v>18.609508832481946</v>
      </c>
    </row>
    <row r="15" spans="1:54" x14ac:dyDescent="0.25">
      <c r="B15" s="1"/>
      <c r="D15" s="2"/>
      <c r="G15" s="8"/>
      <c r="H15" s="8">
        <v>0.8</v>
      </c>
      <c r="I15" s="6"/>
      <c r="J15" s="6"/>
      <c r="K15" s="6"/>
      <c r="L15" s="6"/>
      <c r="M15" s="6">
        <f>($J$2*N24+$K$2*M32)*EXP(-$M$2*$N$2)+$B$2*(1-M10)*$E$2</f>
        <v>40.093306866780914</v>
      </c>
      <c r="N15" s="6">
        <f>($J$2*N25+$K$2*N33)*EXP(-$M$2*$N$2)+$B$2*(1-N10)*$E$2</f>
        <v>0</v>
      </c>
      <c r="O15" s="8">
        <v>0.8</v>
      </c>
      <c r="P15" s="148"/>
      <c r="Q15" s="148"/>
      <c r="R15" s="148"/>
      <c r="S15" s="148"/>
      <c r="T15" s="148"/>
      <c r="U15" s="148"/>
      <c r="V15" s="8">
        <v>0.8</v>
      </c>
      <c r="W15" s="6">
        <f>T11/(1+V15*$L$2)</f>
        <v>196.99633707788794</v>
      </c>
      <c r="X15" s="8">
        <v>0.8</v>
      </c>
      <c r="Y15" s="66"/>
      <c r="Z15" s="66"/>
      <c r="AA15" s="66"/>
      <c r="AB15" s="66"/>
      <c r="AC15" s="23">
        <f>IF(T11&gt;0,M15+(AC10-$X$15)*$L$2*W15,MAX((1-$O$2)*($C$14+$C$24)-M9,0))</f>
        <v>40.093306866780914</v>
      </c>
      <c r="AD15" s="19">
        <f>IF(U11&gt;0,N15+(AD10-$X$15)*$L$2*W16,MAX((1-$O$2)*($C$14+$C$24)-N9,0))</f>
        <v>39.437931830643279</v>
      </c>
      <c r="AE15" s="10"/>
      <c r="AF15" s="10">
        <v>0.8</v>
      </c>
      <c r="AG15" s="9"/>
      <c r="AH15" s="9"/>
      <c r="AI15" s="9"/>
      <c r="AJ15" s="9"/>
      <c r="AK15" s="9">
        <f>(M32*$J$2+N40*$K$2)*EXP(-$M$2*$N$2)+$B$2*(1-AK10)*$E$2</f>
        <v>19.654813227769605</v>
      </c>
      <c r="AL15" s="9">
        <f>(N33*$J$2+O42*$K$2)*EXP(-$M$2*$N$2)+$B$2*(1-AL10)*$E$2</f>
        <v>0</v>
      </c>
      <c r="AM15" s="10">
        <v>0.8</v>
      </c>
      <c r="AN15" s="146"/>
      <c r="AO15" s="146"/>
      <c r="AP15" s="146"/>
      <c r="AQ15" s="146"/>
      <c r="AR15" s="146"/>
      <c r="AS15" s="146"/>
      <c r="AT15" s="10">
        <v>0.8</v>
      </c>
      <c r="AU15" s="9">
        <f>AR11/(1+$L$2*AT15)</f>
        <v>40.983524617390195</v>
      </c>
      <c r="AV15" s="10">
        <v>0.8</v>
      </c>
      <c r="AW15" s="61"/>
      <c r="AX15" s="61"/>
      <c r="AY15" s="61"/>
      <c r="AZ15" s="61"/>
      <c r="BA15" s="24">
        <f>IF(AR11&gt;0,AK15+(BA10-$AV$15)*$L$2*AU15,MAX((1-$O$2)*($C$18+$C$28)-AK9,0))</f>
        <v>19.654813227769605</v>
      </c>
      <c r="BB15" s="67">
        <f>IF(AS11&gt;0,AL15+(BB10-$AV$15)*$L$2*AU15,MAX((1-$O$2)*($C$18+$C$28)-AL9,0))</f>
        <v>8.1967049234780376</v>
      </c>
    </row>
    <row r="16" spans="1:54" x14ac:dyDescent="0.25">
      <c r="A16" s="16">
        <v>310</v>
      </c>
      <c r="E16" s="13">
        <f>C14*I2</f>
        <v>310</v>
      </c>
      <c r="G16" s="8"/>
      <c r="H16" s="8">
        <v>1</v>
      </c>
      <c r="I16" s="6"/>
      <c r="J16" s="6"/>
      <c r="K16" s="6"/>
      <c r="L16" s="6"/>
      <c r="M16" s="6"/>
      <c r="N16" s="6">
        <f>($J$2*N25+$K$2*N33)*EXP(-$M$2*$N$2)+$B$2*(1-N10)*$E$2</f>
        <v>0</v>
      </c>
      <c r="O16" s="8">
        <v>1</v>
      </c>
      <c r="P16" s="148"/>
      <c r="Q16" s="148"/>
      <c r="R16" s="148"/>
      <c r="S16" s="148"/>
      <c r="T16" s="148"/>
      <c r="U16" s="148"/>
      <c r="V16" s="8">
        <v>1</v>
      </c>
      <c r="W16" s="6">
        <f>U11/(1+V16*$L$2)</f>
        <v>197.18965915321644</v>
      </c>
      <c r="X16" s="8">
        <v>1</v>
      </c>
      <c r="Y16" s="66"/>
      <c r="Z16" s="66"/>
      <c r="AA16" s="66"/>
      <c r="AB16" s="66"/>
      <c r="AC16" s="66"/>
      <c r="AD16" s="23">
        <f>IF(U11&gt;0,N16+(AD10-$X$16)*$L$2*W16,MAX((1-$O$2)*($C$14+$C$24)-N9,0))</f>
        <v>0</v>
      </c>
      <c r="AE16" s="10"/>
      <c r="AF16" s="10">
        <v>1</v>
      </c>
      <c r="AG16" s="9"/>
      <c r="AH16" s="9"/>
      <c r="AI16" s="9"/>
      <c r="AJ16" s="9"/>
      <c r="AK16" s="9"/>
      <c r="AL16" s="9">
        <f>(N33*$J$2+O42*$K$2)*EXP(-$M$2*$N$2)+$B$2*(1-AL10)*$E$2</f>
        <v>0</v>
      </c>
      <c r="AM16" s="10">
        <v>1</v>
      </c>
      <c r="AN16" s="146"/>
      <c r="AO16" s="146"/>
      <c r="AP16" s="146"/>
      <c r="AQ16" s="146"/>
      <c r="AR16" s="146"/>
      <c r="AS16" s="146"/>
      <c r="AT16" s="10">
        <v>1</v>
      </c>
      <c r="AU16" s="9">
        <f>AS11/(1+$L$2*AT16)</f>
        <v>46.523772081204868</v>
      </c>
      <c r="AV16" s="10">
        <v>1</v>
      </c>
      <c r="AW16" s="61"/>
      <c r="AX16" s="61"/>
      <c r="AY16" s="61"/>
      <c r="AZ16" s="61"/>
      <c r="BA16" s="61"/>
      <c r="BB16" s="24">
        <f>IF(AS11&gt;0,AL16+(BB10-$AV$16)*$L$2*AU16,MAX((1-$O$2)*($C$18+$C$28)-AL9,0))</f>
        <v>0</v>
      </c>
    </row>
    <row r="17" spans="1:54" x14ac:dyDescent="0.25">
      <c r="A17" s="3"/>
      <c r="B17" s="2"/>
      <c r="D17" s="1"/>
      <c r="AW17" s="20"/>
      <c r="AX17" s="20"/>
      <c r="AY17" s="20"/>
      <c r="AZ17" s="20"/>
      <c r="BA17" s="20"/>
      <c r="BB17" s="20"/>
    </row>
    <row r="18" spans="1:54" x14ac:dyDescent="0.25">
      <c r="C18" s="7">
        <f>A16*I2</f>
        <v>195.69793010714704</v>
      </c>
      <c r="G18" t="s">
        <v>12</v>
      </c>
      <c r="H18" s="4" t="s">
        <v>11</v>
      </c>
      <c r="I18" s="31">
        <f>IF($F$22&gt;$D$5,$P$2,IF($F$22*(1-$O$2)&gt;$P$2,$P$2,$F$22*(1-$O$2)))</f>
        <v>108</v>
      </c>
      <c r="J18" s="31">
        <f>IF($F$22&gt;$D$6,$P$2,IF($F$22*(1-$O$2)&gt;$P$2,$P$2,$F$22*(1-$O$2)))</f>
        <v>108</v>
      </c>
      <c r="K18" s="31">
        <f>IF($F$22&gt;$D$7,$P$2,IF($F$22*(1-$O$2)&gt;$P$2,$P$2,$F$22*(1-$O$2)))</f>
        <v>108</v>
      </c>
      <c r="L18" s="31">
        <f>IF($F$22&gt;$D$8,$P$2,IF($F$22*(1-$O$2)&gt;$P$2,$P$2,$F$22*(1-$O$2)))</f>
        <v>108</v>
      </c>
      <c r="M18" s="31">
        <f>IF($F$22&gt;$D$9,$P$2,IF($F$22*(1-$O$2)&gt;$P$2,$P$2,$F$22*(1-$O$2)))</f>
        <v>108</v>
      </c>
      <c r="N18" s="31">
        <f>IF($F$22&gt;$D$10,$P$2,IF($F$22*(1-$O$2)&gt;$P$2,$P$2,$F$22*(1-$O$2)))</f>
        <v>108</v>
      </c>
      <c r="AW18" s="20"/>
      <c r="AX18" s="20"/>
      <c r="AY18" s="20"/>
      <c r="AZ18" s="20"/>
      <c r="BA18" s="20"/>
      <c r="BB18" s="20"/>
    </row>
    <row r="19" spans="1:54" x14ac:dyDescent="0.25">
      <c r="D19" s="2"/>
      <c r="H19" s="4" t="s">
        <v>19</v>
      </c>
      <c r="I19" s="12">
        <v>0</v>
      </c>
      <c r="J19" s="12">
        <v>0.2</v>
      </c>
      <c r="K19" s="12">
        <v>0.4</v>
      </c>
      <c r="L19" s="12">
        <v>0.6</v>
      </c>
      <c r="M19" s="12">
        <v>0.8</v>
      </c>
      <c r="N19" s="12">
        <v>1</v>
      </c>
      <c r="O19" s="12" t="s">
        <v>14</v>
      </c>
      <c r="P19" s="12">
        <v>0</v>
      </c>
      <c r="Q19" s="12">
        <v>0.2</v>
      </c>
      <c r="R19" s="12">
        <v>0.4</v>
      </c>
      <c r="S19" s="12">
        <v>0.6</v>
      </c>
      <c r="T19" s="12">
        <v>0.8</v>
      </c>
      <c r="U19" s="12">
        <v>1</v>
      </c>
      <c r="V19" s="4" t="s">
        <v>15</v>
      </c>
      <c r="W19" s="4"/>
      <c r="X19" s="4"/>
      <c r="Y19" s="4"/>
    </row>
    <row r="20" spans="1:54" x14ac:dyDescent="0.25">
      <c r="E20" s="5">
        <f>C18*I2</f>
        <v>123.54090273619939</v>
      </c>
      <c r="H20" s="12">
        <v>0</v>
      </c>
      <c r="I20" s="30">
        <f>IF($F$22&gt;$D$5,$B$2*(1-I19)+$B$2*$E$2*(1-I19)+$L$2*W20*(I19-$H20),IF($F$22*(1-$O$2)&gt;$P$2,$F$22*(1-$O$2)-$P$2,0))</f>
        <v>105</v>
      </c>
      <c r="J20" s="30">
        <f>IF($F$22&gt;$D$6,$B$2*(1-J$19)+$B$2*$E$2*(1-J$19)+$L$2*$W$21*(J$19-$H20),IF($F$22*(1-$O$2)&gt;$P$2,$F$22*(1-$O$2)-$P$2,0))</f>
        <v>184.66570661367905</v>
      </c>
      <c r="K20" s="30">
        <f>IF($F$22&gt;$D$7,$B$2*(1-K$19)+$B$2*$E$2*(1-K$19)+$L$2*$W$22*(K$19-$H20),IF($F$22*(1-$O$2)&gt;$P$2,$F$22*(1-$O$2)-$P$2,0))</f>
        <v>241.51263990916411</v>
      </c>
      <c r="L20" s="30">
        <f>IF($F$22&gt;$D$8,$B$2*(1-L$19)+$B$2*$E$2*(1-L$19)+$L$2*$W$23*(L$19-$H20),IF($F$22*(1-$O$2)&gt;$P$2,$F$22*(1-$O$2)-$P$2,0))</f>
        <v>284.09783988077783</v>
      </c>
      <c r="M20" s="30">
        <f>IF($F$22&gt;$D$9,$B$2*(1-M$19)+$B$2*$E$2*(1-M$19)+$L$2*$W$24*(M$19-$H20),IF($F$22*(1-$O$2)&gt;$P$2,$F$22*(1-$O$2)-$P$2,0))</f>
        <v>317.1752176364775</v>
      </c>
      <c r="N20" s="32">
        <f t="shared" ref="N20:N25" si="2">IF($F$22&gt;$D$10,$B$2*(1-N$19)+$B$2*$E$2*(1-N$19)+$L$2*$W$25*(N$19-$H20),IF($F$22*(1-$O$2)&gt;$P$2,$F$22*(1-$O$2)-$P$2,0))</f>
        <v>343.59711984103711</v>
      </c>
      <c r="O20" s="12">
        <v>0</v>
      </c>
      <c r="P20" s="30">
        <f t="shared" ref="P20:U20" si="3">MAX($F$22-$P$2+$A$2*$D$2*$C$2-$B$2*(1-P19)-$B$2*(1-P19)*(1-$C$2)*$E$2,0)</f>
        <v>583.19423968207423</v>
      </c>
      <c r="Q20" s="30">
        <f t="shared" si="3"/>
        <v>603.99423968207418</v>
      </c>
      <c r="R20" s="30">
        <f t="shared" si="3"/>
        <v>624.79423968207425</v>
      </c>
      <c r="S20" s="30">
        <f t="shared" si="3"/>
        <v>645.5942396820742</v>
      </c>
      <c r="T20" s="30">
        <f t="shared" si="3"/>
        <v>666.39423968207427</v>
      </c>
      <c r="U20" s="30">
        <f t="shared" si="3"/>
        <v>687.19423968207423</v>
      </c>
      <c r="V20" s="12">
        <v>0</v>
      </c>
      <c r="W20" s="4">
        <f>P20/(1+$L$2*V20)</f>
        <v>583.19423968207423</v>
      </c>
      <c r="X20" s="12"/>
      <c r="Y20" s="4"/>
    </row>
    <row r="21" spans="1:54" x14ac:dyDescent="0.25">
      <c r="H21" s="12">
        <v>0.2</v>
      </c>
      <c r="I21" s="30"/>
      <c r="J21" s="30">
        <f>IF($F$22&gt;$D$6,$B$2*(1-J$19)+$B$2*$E$2*(1-J$19)+$L$2*$W$21*(J$19-$H21),IF($F$22*(1-$O$2)&gt;$P$2,$F$22*(1-$O$2)-$P$2,0))</f>
        <v>84</v>
      </c>
      <c r="K21" s="30">
        <f>IF($F$22&gt;$D$7,$B$2*(1-K$19)+$B$2*$E$2*(1-K$19)+$L$2*$W$22*(K$19-$H21),IF($F$22*(1-$O$2)&gt;$P$2,$F$22*(1-$O$2)-$P$2,0))</f>
        <v>152.25631995458207</v>
      </c>
      <c r="L21" s="30">
        <f>IF($F$22&gt;$D$8,$B$2*(1-L$19)+$B$2*$E$2*(1-L$19)+$L$2*$W$23*(L$19-$H21),IF($F$22*(1-$O$2)&gt;$P$2,$F$22*(1-$O$2)-$P$2,0))</f>
        <v>203.39855992051855</v>
      </c>
      <c r="M21" s="30">
        <f>IF($F$22&gt;$D$9,$B$2*(1-M$19)+$B$2*$E$2*(1-M$19)+$L$2*$W$24*(M$19-$H21),IF($F$22*(1-$O$2)&gt;$P$2,$F$22*(1-$O$2)-$P$2,0))</f>
        <v>243.13141322735814</v>
      </c>
      <c r="N21" s="32">
        <f t="shared" si="2"/>
        <v>274.87769587282969</v>
      </c>
      <c r="O21" s="12">
        <v>0.2</v>
      </c>
      <c r="P21" s="149" t="s">
        <v>73</v>
      </c>
      <c r="Q21" s="149"/>
      <c r="R21" s="149"/>
      <c r="S21" s="149"/>
      <c r="T21" s="149"/>
      <c r="U21" s="149"/>
      <c r="V21" s="12">
        <v>0.2</v>
      </c>
      <c r="W21" s="4">
        <f>Q20/(1+$L$2*V21)</f>
        <v>503.32853306839519</v>
      </c>
      <c r="X21" s="12"/>
      <c r="Y21" s="4"/>
    </row>
    <row r="22" spans="1:54" x14ac:dyDescent="0.25">
      <c r="E22">
        <f>E12*(EXP(R2*N2)-1)</f>
        <v>15.714218801821861</v>
      </c>
      <c r="F22">
        <f>$E$12+$E$22</f>
        <v>793.5942396820742</v>
      </c>
      <c r="H22" s="12">
        <v>0.4</v>
      </c>
      <c r="I22" s="30"/>
      <c r="J22" s="30"/>
      <c r="K22" s="30">
        <f>IF($F$22&gt;$D$7,$B$2*(1-K$19)+$B$2*$E$2*(1-K$19)+$L$2*$W$22*(K$19-$H22),IF($F$22*(1-$O$2)&gt;$P$2,$F$22*(1-$O$2)-$P$2,0))</f>
        <v>63</v>
      </c>
      <c r="L22" s="30">
        <f>IF($F$22&gt;$D$8,$B$2*(1-L$19)+$B$2*$E$2*(1-L$19)+$L$2*$W$23*(L$19-$H22),IF($F$22*(1-$O$2)&gt;$P$2,$F$22*(1-$O$2)-$P$2,0))</f>
        <v>122.69927996025926</v>
      </c>
      <c r="M22" s="30">
        <f>IF($F$22&gt;$D$9,$B$2*(1-M$19)+$B$2*$E$2*(1-M$19)+$L$2*$W$24*(M$19-$H22),IF($F$22*(1-$O$2)&gt;$P$2,$F$22*(1-$O$2)-$P$2,0))</f>
        <v>169.08760881823875</v>
      </c>
      <c r="N22" s="32">
        <f t="shared" si="2"/>
        <v>206.15827190462227</v>
      </c>
      <c r="O22" s="12">
        <v>0.4</v>
      </c>
      <c r="P22" s="149"/>
      <c r="Q22" s="149"/>
      <c r="R22" s="149"/>
      <c r="S22" s="149"/>
      <c r="T22" s="149"/>
      <c r="U22" s="149"/>
      <c r="V22" s="12">
        <v>0.4</v>
      </c>
      <c r="W22" s="4">
        <f>R20/(1+$L$2*V22)</f>
        <v>446.28159977291023</v>
      </c>
      <c r="X22" s="12"/>
      <c r="Y22" s="4"/>
    </row>
    <row r="23" spans="1:54" x14ac:dyDescent="0.25">
      <c r="H23" s="12">
        <v>0.6</v>
      </c>
      <c r="I23" s="30"/>
      <c r="J23" s="30"/>
      <c r="K23" s="30"/>
      <c r="L23" s="30">
        <f>IF($F$22&gt;$D$8,$B$2*(1-L$19)+$B$2*$E$2*(1-L$19)+$L$2*$W$23*(L$19-$H23),IF($F$22*(1-$O$2)&gt;$P$2,$F$22*(1-$O$2)-$P$2,0))</f>
        <v>42</v>
      </c>
      <c r="M23" s="30">
        <f>IF($F$22&gt;$D$9,$B$2*(1-M$19)+$B$2*$E$2*(1-M$19)+$L$2*$W$24*(M$19-$H23),IF($F$22*(1-$O$2)&gt;$P$2,$F$22*(1-$O$2)-$P$2,0))</f>
        <v>95.043804409119389</v>
      </c>
      <c r="N23" s="32">
        <f t="shared" si="2"/>
        <v>137.43884793641485</v>
      </c>
      <c r="O23" s="12">
        <v>0.6</v>
      </c>
      <c r="P23" s="149"/>
      <c r="Q23" s="149"/>
      <c r="R23" s="149"/>
      <c r="S23" s="149"/>
      <c r="T23" s="149"/>
      <c r="U23" s="149"/>
      <c r="V23" s="12">
        <v>0.6</v>
      </c>
      <c r="W23" s="4">
        <f>S20/(1+$L$2*V23)</f>
        <v>403.49639980129638</v>
      </c>
      <c r="X23" s="12"/>
      <c r="Y23" s="4"/>
    </row>
    <row r="24" spans="1:54" x14ac:dyDescent="0.25">
      <c r="C24">
        <f>C14*(EXP(R2*N2)-1)</f>
        <v>9.9201293315075816</v>
      </c>
      <c r="H24" s="12">
        <v>0.8</v>
      </c>
      <c r="I24" s="30"/>
      <c r="J24" s="30"/>
      <c r="K24" s="30"/>
      <c r="L24" s="30"/>
      <c r="M24" s="30">
        <f>IF($F$22&gt;$D$9,$B$2*(1-M$19)+$B$2*$E$2*(1-M$19)+$L$2*$W$24*(M$19-$H24),IF($F$22*(1-$O$2)&gt;$P$2,$F$22*(1-$O$2)-$P$2,0))</f>
        <v>20.999999999999996</v>
      </c>
      <c r="N24" s="32">
        <f t="shared" si="2"/>
        <v>68.719423968207408</v>
      </c>
      <c r="O24" s="12">
        <v>0.8</v>
      </c>
      <c r="P24" s="149"/>
      <c r="Q24" s="149"/>
      <c r="R24" s="149"/>
      <c r="S24" s="149"/>
      <c r="T24" s="149"/>
      <c r="U24" s="149"/>
      <c r="V24" s="12">
        <v>0.8</v>
      </c>
      <c r="W24" s="4">
        <f>T20/(1+$L$2*V24)</f>
        <v>370.21902204559683</v>
      </c>
      <c r="X24" s="12"/>
      <c r="Y24" s="4"/>
    </row>
    <row r="25" spans="1:54" x14ac:dyDescent="0.25">
      <c r="H25" s="12">
        <v>1</v>
      </c>
      <c r="I25" s="30"/>
      <c r="J25" s="30"/>
      <c r="K25" s="30"/>
      <c r="L25" s="30"/>
      <c r="M25" s="30"/>
      <c r="N25" s="32">
        <f t="shared" si="2"/>
        <v>0</v>
      </c>
      <c r="O25" s="12">
        <v>1</v>
      </c>
      <c r="P25" s="149"/>
      <c r="Q25" s="149"/>
      <c r="R25" s="149"/>
      <c r="S25" s="149"/>
      <c r="T25" s="149"/>
      <c r="U25" s="149"/>
      <c r="V25" s="12">
        <v>1</v>
      </c>
      <c r="W25" s="4">
        <f>U20/(1+$L$2*V25)</f>
        <v>343.59711984103711</v>
      </c>
      <c r="X25" s="12"/>
      <c r="Y25" s="4"/>
    </row>
    <row r="26" spans="1:54" x14ac:dyDescent="0.25">
      <c r="A26">
        <v>0</v>
      </c>
      <c r="E26">
        <f>E16*(EXP(R2*N2)-1)</f>
        <v>6.2624154082942907</v>
      </c>
      <c r="F26">
        <f>$E$16+$E$26</f>
        <v>316.26241540829432</v>
      </c>
      <c r="G26" s="13" t="s">
        <v>11</v>
      </c>
      <c r="H26" s="13"/>
      <c r="I26" s="28">
        <f>IF($F$26&gt;$D$5,$P$2,IF($F$26*(1-$O$2)&gt;$P$2,$P$2,$F$26*(1-$O$2)))</f>
        <v>108</v>
      </c>
      <c r="J26" s="28">
        <f>IF($F$26&gt;$D$6,$P$2,IF($F$26*(1-$O$2)&gt;$P$2,$P$2,$F$26*(1-$O$2)))</f>
        <v>108</v>
      </c>
      <c r="K26" s="28">
        <f>IF($F$26&gt;$D$7,$P$2,IF($F$26*(1-$O$2)&gt;$P$2,$P$2,$F$26*(1-$O$2)))</f>
        <v>108</v>
      </c>
      <c r="L26" s="28">
        <f>IF($F$26&gt;$D$8,$P$2,IF($F$26*(1-$O$2)&gt;$P$2,$P$2,$F$26*(1-$O$2)))</f>
        <v>108</v>
      </c>
      <c r="M26" s="28">
        <f>IF($F$26&gt;$D$9,$P$2,IF($F$26*(1-$O$2)&gt;$P$2,$P$2,$F$26*(1-$O$2)))</f>
        <v>108</v>
      </c>
      <c r="N26" s="28">
        <f>IF($F$26&gt;$D$10,$P$2,IF($F$26*(1-$O$2)&gt;$P$2,$P$2,$F$26*(1-$O$2)))</f>
        <v>108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54" x14ac:dyDescent="0.25">
      <c r="G27" s="13"/>
      <c r="H27" s="13" t="s">
        <v>19</v>
      </c>
      <c r="I27" s="14">
        <v>0</v>
      </c>
      <c r="J27" s="14">
        <v>0.2</v>
      </c>
      <c r="K27" s="14">
        <v>0.4</v>
      </c>
      <c r="L27" s="14">
        <v>0.6</v>
      </c>
      <c r="M27" s="14">
        <v>0.8</v>
      </c>
      <c r="N27" s="14">
        <v>1</v>
      </c>
      <c r="O27" s="14" t="s">
        <v>14</v>
      </c>
      <c r="P27" s="14">
        <v>0</v>
      </c>
      <c r="Q27" s="14">
        <v>0.2</v>
      </c>
      <c r="R27" s="14">
        <v>0.4</v>
      </c>
      <c r="S27" s="14">
        <v>0.6</v>
      </c>
      <c r="T27" s="14">
        <v>0.8</v>
      </c>
      <c r="U27" s="14">
        <v>1</v>
      </c>
      <c r="V27" s="13" t="s">
        <v>15</v>
      </c>
      <c r="W27" s="13"/>
      <c r="X27" s="13"/>
      <c r="Y27" s="13"/>
    </row>
    <row r="28" spans="1:54" x14ac:dyDescent="0.25">
      <c r="C28">
        <f>C18*(EXP(R2*N2)-1)</f>
        <v>3.9533604286267638</v>
      </c>
      <c r="H28" s="14">
        <v>0</v>
      </c>
      <c r="I28" s="30">
        <f>IF($F$26&gt;$D$5,$B$2*(1-I27)+$B$2*$E$2*(1-I27)+$L$2*W28*(I27-$H28),IF($F$26*(1-$O$2)&gt;$P$2,$F$26*(1-$O$2)-$P$2,0))</f>
        <v>105</v>
      </c>
      <c r="J28" s="30">
        <f>IF($F$26&gt;$D$6,$B$2*(1-J$27)+$B$2*$E$2*(1-J$27)+$L$2*$W$29*(J$27-$H28),IF($F$26*(1-$O$2)&gt;$P$2,$F$26*(1-$O$2)-$P$2,0))</f>
        <v>105.11040256804905</v>
      </c>
      <c r="K28" s="32">
        <f>IF($F$26&gt;$D$7,$B$2*(1-K$27)+$B$2*$E$2*(1-K$27)+$L$2*$W$30*(K$27-$H28),IF($F$26*(1-$O$2)&gt;$P$2,$F$26*(1-$O$2)-$P$2,0))</f>
        <v>105.13211868808409</v>
      </c>
      <c r="L28" s="30">
        <f>IF($F$26&gt;$D$8,$B$2*(1-L$27)+$B$2*$E$2*(1-L$27)+$L$2*$W$31*(L$27-$H28),IF($F$26*(1-$O$2)&gt;$P$2,$F$26*(1-$O$2)-$P$2,0))</f>
        <v>105.09840577811036</v>
      </c>
      <c r="M28" s="30">
        <f>IF($F$26&gt;$D$9,$B$2*(1-M$27)+$B$2*$E$2*(1-M$27)+$L$2*$W$32*(M$27-$H28),IF($F$26*(1-$O$2)&gt;$P$2,$F$26*(1-$O$2)-$P$2,0))</f>
        <v>105.02774018146414</v>
      </c>
      <c r="N28" s="30">
        <f t="shared" ref="N28:N33" si="4">IF($F$26&gt;$D$10,$B$2*(1-N$27)+$B$2*$E$2*(1-N$27)+$L$2*$W$33*(N$27-$H28),IF($F$26*(1-$O$2)&gt;$P$2,$F$26*(1-$O$2)-$P$2,0))</f>
        <v>104.93120770414716</v>
      </c>
      <c r="O28" s="14">
        <v>0</v>
      </c>
      <c r="P28" s="30">
        <f t="shared" ref="P28:U28" si="5">MAX($F$26-$P$2+$A$2*$D$2*$C$2-$B$2*(1-P27)-$B$2*(1-P27)*(1-$C$2)*$E$2,0)</f>
        <v>105.86241540829431</v>
      </c>
      <c r="Q28" s="30">
        <f t="shared" si="5"/>
        <v>126.66241540829431</v>
      </c>
      <c r="R28" s="30">
        <f t="shared" si="5"/>
        <v>147.46241540829431</v>
      </c>
      <c r="S28" s="30">
        <f t="shared" si="5"/>
        <v>168.26241540829432</v>
      </c>
      <c r="T28" s="30">
        <f t="shared" si="5"/>
        <v>189.0624154082943</v>
      </c>
      <c r="U28" s="30">
        <f t="shared" si="5"/>
        <v>209.86241540829431</v>
      </c>
      <c r="V28" s="14">
        <v>0</v>
      </c>
      <c r="W28" s="13">
        <f>P28/(1+$L$2*V28)</f>
        <v>105.86241540829431</v>
      </c>
      <c r="X28" s="14"/>
      <c r="Y28" s="13"/>
    </row>
    <row r="29" spans="1:54" x14ac:dyDescent="0.25">
      <c r="H29" s="14">
        <v>0.2</v>
      </c>
      <c r="I29" s="13"/>
      <c r="J29" s="30">
        <f>IF($F$26&gt;$D$6,$B$2*(1-J$27)+$B$2*$E$2*(1-J$27)+$L$2*$W$29*(J$27-$H29),IF($F$26*(1-$O$2)&gt;$P$2,$F$26*(1-$O$2)-$P$2,0))</f>
        <v>84</v>
      </c>
      <c r="K29" s="32">
        <f>IF($F$26&gt;$D$7,$B$2*(1-K$27)+$B$2*$E$2*(1-K$27)+$L$2*$W$30*(K$27-$H29),IF($F$26*(1-$O$2)&gt;$P$2,$F$26*(1-$O$2)-$P$2,0))</f>
        <v>84.066059344042046</v>
      </c>
      <c r="L29" s="30">
        <f>IF($F$26&gt;$D$8,$B$2*(1-L$27)+$B$2*$E$2*(1-L$27)+$L$2*$W$31*(L$27-$H29),IF($F$26*(1-$O$2)&gt;$P$2,$F$26*(1-$O$2)-$P$2,0))</f>
        <v>84.065603852073565</v>
      </c>
      <c r="M29" s="30">
        <f>IF($F$26&gt;$D$9,$B$2*(1-M$27)+$B$2*$E$2*(1-M$27)+$L$2*$W$32*(M$27-$H29),IF($F$26*(1-$O$2)&gt;$P$2,$F$26*(1-$O$2)-$P$2,0))</f>
        <v>84.020805136098105</v>
      </c>
      <c r="N29" s="30">
        <f t="shared" si="4"/>
        <v>83.94496616331773</v>
      </c>
      <c r="O29" s="14">
        <v>0.2</v>
      </c>
      <c r="P29" s="150" t="s">
        <v>75</v>
      </c>
      <c r="Q29" s="150"/>
      <c r="R29" s="150"/>
      <c r="S29" s="150"/>
      <c r="T29" s="150"/>
      <c r="U29" s="150"/>
      <c r="V29" s="14">
        <v>0.2</v>
      </c>
      <c r="W29" s="13">
        <f>Q28/(1+$L$2*V29)</f>
        <v>105.55201284024525</v>
      </c>
      <c r="X29" s="14"/>
      <c r="Y29" s="13"/>
    </row>
    <row r="30" spans="1:54" x14ac:dyDescent="0.25">
      <c r="E30">
        <f>E20*(EXP(R2*N2)-1)</f>
        <v>2.4956917833863268</v>
      </c>
      <c r="F30">
        <f>$E20+$E$30</f>
        <v>126.03659451958571</v>
      </c>
      <c r="H30" s="14">
        <v>0.4</v>
      </c>
      <c r="I30" s="13"/>
      <c r="J30" s="13"/>
      <c r="K30" s="30">
        <f>IF($F$26&gt;$D$7,$B$2*(1-K$27)+$B$2*$E$2*(1-K$27)+$L$2*$W$30*(K$27-$H30),IF($F$26*(1-$O$2)&gt;$P$2,$F$26*(1-$O$2)-$P$2,0))</f>
        <v>63</v>
      </c>
      <c r="L30" s="32">
        <f>IF($F$26&gt;$D$8,$B$2*(1-L$27)+$B$2*$E$2*(1-L$27)+$L$2*$W$31*(L$27-$H30),IF($F$26*(1-$O$2)&gt;$P$2,$F$26*(1-$O$2)-$P$2,0))</f>
        <v>63.032801926036782</v>
      </c>
      <c r="M30" s="30">
        <f>IF($F$26&gt;$D$9,$B$2*(1-M$27)+$B$2*$E$2*(1-M$27)+$L$2*$W$32*(M$27-$H30),IF($F$26*(1-$O$2)&gt;$P$2,$F$26*(1-$O$2)-$P$2,0))</f>
        <v>63.01387009073207</v>
      </c>
      <c r="N30" s="30">
        <f t="shared" si="4"/>
        <v>62.95872462248829</v>
      </c>
      <c r="O30" s="14">
        <v>0.4</v>
      </c>
      <c r="P30" s="150"/>
      <c r="Q30" s="150"/>
      <c r="R30" s="150"/>
      <c r="S30" s="150"/>
      <c r="T30" s="150"/>
      <c r="U30" s="150"/>
      <c r="V30" s="14">
        <v>0.4</v>
      </c>
      <c r="W30" s="13">
        <f>R28/(1+$L$2*V30)</f>
        <v>105.33029672021023</v>
      </c>
      <c r="X30" s="14"/>
      <c r="Y30" s="13"/>
    </row>
    <row r="31" spans="1:54" x14ac:dyDescent="0.25">
      <c r="H31" s="14">
        <v>0.6</v>
      </c>
      <c r="I31" s="13"/>
      <c r="J31" s="13"/>
      <c r="K31" s="13"/>
      <c r="L31" s="30">
        <f>IF($F$26&gt;$D$8,$B$2*(1-L$27)+$B$2*$E$2*(1-L$27)+$L$2*$W$31*(L$27-$H31),IF($F$26*(1-$O$2)&gt;$P$2,$F$26*(1-$O$2)-$P$2,0))</f>
        <v>42</v>
      </c>
      <c r="M31" s="32">
        <f>IF($F$26&gt;$D$9,$B$2*(1-M$27)+$B$2*$E$2*(1-M$27)+$L$2*$W$32*(M$27-$H31),IF($F$26*(1-$O$2)&gt;$P$2,$F$26*(1-$O$2)-$P$2,0))</f>
        <v>42.006935045366035</v>
      </c>
      <c r="N31" s="30">
        <f t="shared" si="4"/>
        <v>41.972483081658865</v>
      </c>
      <c r="O31" s="14">
        <v>0.6</v>
      </c>
      <c r="P31" s="150"/>
      <c r="Q31" s="150"/>
      <c r="R31" s="150"/>
      <c r="S31" s="150"/>
      <c r="T31" s="150"/>
      <c r="U31" s="150"/>
      <c r="V31" s="14">
        <v>0.6</v>
      </c>
      <c r="W31" s="13">
        <f>S28/(1+$L$2*V31)</f>
        <v>105.16400963018394</v>
      </c>
      <c r="X31" s="14"/>
      <c r="Y31" s="13"/>
    </row>
    <row r="32" spans="1:54" x14ac:dyDescent="0.25">
      <c r="H32" s="14">
        <v>0.8</v>
      </c>
      <c r="I32" s="13"/>
      <c r="J32" s="13"/>
      <c r="K32" s="13"/>
      <c r="L32" s="13"/>
      <c r="M32" s="32">
        <f>IF($F$26&gt;$D$9,$B$2*(1-M$27)+$B$2*$E$2*(1-M$27)+$L$2*$W$32*(M$27-$H32),IF($F$26*(1-$O$2)&gt;$P$2,$F$26*(1-$O$2)-$P$2,0))</f>
        <v>20.999999999999996</v>
      </c>
      <c r="N32" s="30">
        <f t="shared" si="4"/>
        <v>20.986241540829425</v>
      </c>
      <c r="O32" s="14">
        <v>0.8</v>
      </c>
      <c r="P32" s="150"/>
      <c r="Q32" s="150"/>
      <c r="R32" s="150"/>
      <c r="S32" s="150"/>
      <c r="T32" s="150"/>
      <c r="U32" s="150"/>
      <c r="V32" s="14">
        <v>0.8</v>
      </c>
      <c r="W32" s="13">
        <f>T28/(1+$L$2*V32)</f>
        <v>105.03467522683016</v>
      </c>
      <c r="X32" s="14"/>
      <c r="Y32" s="13"/>
    </row>
    <row r="33" spans="1:27" x14ac:dyDescent="0.25">
      <c r="H33" s="14">
        <v>1</v>
      </c>
      <c r="I33" s="13"/>
      <c r="J33" s="13"/>
      <c r="K33" s="13"/>
      <c r="L33" s="13"/>
      <c r="M33" s="13"/>
      <c r="N33" s="32">
        <f t="shared" si="4"/>
        <v>0</v>
      </c>
      <c r="O33" s="14">
        <v>1</v>
      </c>
      <c r="P33" s="150"/>
      <c r="Q33" s="150"/>
      <c r="R33" s="150"/>
      <c r="S33" s="150"/>
      <c r="T33" s="150"/>
      <c r="U33" s="150"/>
      <c r="V33" s="14">
        <v>1</v>
      </c>
      <c r="W33" s="13">
        <f>U28/(1+$L$2*V33)</f>
        <v>104.93120770414716</v>
      </c>
      <c r="X33" s="14"/>
      <c r="Y33" s="13"/>
    </row>
    <row r="34" spans="1:27" x14ac:dyDescent="0.25">
      <c r="G34" s="5" t="s">
        <v>11</v>
      </c>
      <c r="H34" s="5"/>
      <c r="I34" s="29">
        <f>IF($F$30&gt;$D$5,$P$2,IF($F$30*(1-$O$2)&gt;$P$2,$P$2,$F$30*(1-$O$2)))</f>
        <v>100.82927561566856</v>
      </c>
      <c r="J34" s="29">
        <f>IF($F$30&gt;$D$6,$P$2,IF($F$30*(1-$O$2)&gt;$P$2,$P$2,$F$30*(1-$O$2)))</f>
        <v>100.82927561566856</v>
      </c>
      <c r="K34" s="29">
        <f>IF($F$30&gt;$D$7,$P$2,IF($F$30*(1-$O$2)&gt;$P$2,$P$2,$F$30*(1-$O$2)))</f>
        <v>100.82927561566856</v>
      </c>
      <c r="L34" s="29">
        <f>IF($F$30&gt;$D$8,$P$2,IF($F$30*(1-$O$2)&gt;$P$2,$P$2,$F$30*(1-$O$2)))</f>
        <v>100.82927561566856</v>
      </c>
      <c r="M34" s="29">
        <f>IF($F$30&gt;$D$9,$P$2,IF($F$30*(1-$O$2)&gt;$P$2,$P$2,$F$30*(1-$O$2)))</f>
        <v>100.82927561566856</v>
      </c>
      <c r="N34" s="29">
        <f>IF($F$30&gt;D11,$P$2,IF($F$30*(1-$O$2)&gt;$P$2,$P$2,$F$30*(1-$O$2)))</f>
        <v>108</v>
      </c>
      <c r="O34" s="29">
        <f>IF($F$30&gt;$D$10,$P$2,IF($F$30*(1-$O$2)&gt;$P$2,$P$2,$F$30*(1-$O$2)))</f>
        <v>108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7" x14ac:dyDescent="0.25">
      <c r="G35" s="5"/>
      <c r="H35" s="5" t="s">
        <v>19</v>
      </c>
      <c r="I35" s="15">
        <v>0</v>
      </c>
      <c r="J35" s="15">
        <v>0.2</v>
      </c>
      <c r="K35" s="15">
        <v>0.4</v>
      </c>
      <c r="L35" s="15">
        <v>0.6</v>
      </c>
      <c r="M35" s="15">
        <v>0.8</v>
      </c>
      <c r="N35" s="15">
        <v>0.82</v>
      </c>
      <c r="O35" s="15">
        <v>1</v>
      </c>
      <c r="P35" s="15" t="s">
        <v>14</v>
      </c>
      <c r="Q35" s="15">
        <v>0</v>
      </c>
      <c r="R35" s="15">
        <v>0.2</v>
      </c>
      <c r="S35" s="15">
        <v>0.4</v>
      </c>
      <c r="T35" s="15">
        <v>0.6</v>
      </c>
      <c r="U35" s="15">
        <v>0.8</v>
      </c>
      <c r="V35" s="15">
        <v>0.82</v>
      </c>
      <c r="W35" s="15">
        <v>1</v>
      </c>
      <c r="X35" s="5" t="s">
        <v>15</v>
      </c>
      <c r="Y35" s="5"/>
      <c r="Z35" s="5"/>
      <c r="AA35" s="5"/>
    </row>
    <row r="36" spans="1:27" x14ac:dyDescent="0.25">
      <c r="H36" s="15">
        <v>0</v>
      </c>
      <c r="I36" s="30">
        <f>IF($F$30&gt;$D$5,$B$2*(1-I35)+$B$2*$E$2*(1-I35)+$L$2*Y36*(I35-$H36),IF($F$30*(1-$O$2)&gt;$P$2,$F$30*(1-$O$2)-$P$2,0))</f>
        <v>0</v>
      </c>
      <c r="J36" s="30">
        <f>IF($F$30&gt;$D$6,$B$2*(1-J$35)+$B$2*$E$2*(1-J$35)+$L$2*$Y$37*(J$35-$H36),IF($F$30*(1-$O$2)&gt;$P$2,$F$30*(1-$O$2)-$P$2,0))</f>
        <v>0</v>
      </c>
      <c r="K36" s="30">
        <f>IF($F$30&gt;$D$7,$B$2*(1-K$35)+$B$2*$E$2*(1-K$35)+$L$2*$Y$38*(K$35-$H36),IF($F$30*(1-$O$2)&gt;$P$2,$F$30*(1-$O$2)-$P$2,0))</f>
        <v>0</v>
      </c>
      <c r="L36" s="30">
        <f>IF($F$30&gt;$D$8,$B$2*(1-L$35)+$B$2*$E$2*(1-L$35)+$L$2*$Y$39*(L$35-$H36),IF($F$30*(1-$O$2)&gt;$P$2,$F$30*(1-$O$2)-$P$2,0))</f>
        <v>0</v>
      </c>
      <c r="M36" s="30">
        <f>IF($F$30&gt;$D$9,$B$2*(1-M$35)+$B$2*$E$2*(1-M$35)+$L$2*$Y$40*(M$35-$H36),IF($F$30*(1-$O$2)&gt;$P$2,$F$30*(1-$O$2)-$P$2,0))</f>
        <v>0</v>
      </c>
      <c r="N36" s="32">
        <f>IF($F$30&gt;D11,$B$2*(1-N$35)+$B$2*$E$2*(1-N$35)+$L$2*Y41*(N$35-$H36),IF($F$30*(1-$O$2)&gt;$P$2,$F$30*(1-$O$2)-$P$2,0))</f>
        <v>19.31297115717598</v>
      </c>
      <c r="O36" s="30">
        <f t="shared" ref="O36:O42" si="6">IF($F$30&gt;$D$10,$B$2*(1-O$35)+$B$2*$E$2*(1-O$35)+$L$2*$Y$42*(O$35-$H36),IF($F$30*(1-$O$2)&gt;$P$2,$F$30*(1-$O$2)-$P$2,0))</f>
        <v>9.8182972597928533</v>
      </c>
      <c r="P36" s="15">
        <v>0</v>
      </c>
      <c r="Q36" s="30">
        <f t="shared" ref="Q36:W36" si="7">MAX($F$30-$P$2+$A$2*$D$2*$C$2-$B$2*(1-Q35)-$B$2*(1-Q35)*(1-$C$2)*$E$2,0)</f>
        <v>0</v>
      </c>
      <c r="R36" s="30">
        <f t="shared" si="7"/>
        <v>0</v>
      </c>
      <c r="S36" s="30">
        <f t="shared" si="7"/>
        <v>0</v>
      </c>
      <c r="T36" s="30">
        <f t="shared" si="7"/>
        <v>0</v>
      </c>
      <c r="U36" s="30">
        <f t="shared" si="7"/>
        <v>0</v>
      </c>
      <c r="V36" s="30">
        <f>MAX($F$30-$P$2+$A$2*$D$2*$C$2-$B$2*(1-V35)-$B$2*(1-V35)*(1-$C$2)*$E$2,0)</f>
        <v>0.91659451958570282</v>
      </c>
      <c r="W36" s="30">
        <f t="shared" si="7"/>
        <v>19.636594519585707</v>
      </c>
      <c r="X36" s="15">
        <v>0</v>
      </c>
      <c r="Y36" s="28">
        <f>Q36/(1+$L$2*X36)</f>
        <v>0</v>
      </c>
      <c r="Z36" s="15"/>
      <c r="AA36" s="5"/>
    </row>
    <row r="37" spans="1:27" x14ac:dyDescent="0.25">
      <c r="H37" s="15">
        <v>0.2</v>
      </c>
      <c r="I37" s="22"/>
      <c r="J37" s="30">
        <f>IF($F$30&gt;$D$6,$B$2*(1-J$35)+$B$2*$E$2*(1-J$35)+$L$2*$Y$37*(J$35-$H37),IF($F$30*(1-$O$2)&gt;$P$2,$F$30*(1-$O$2)-$P$2,0))</f>
        <v>0</v>
      </c>
      <c r="K37" s="30">
        <f>IF($F$30&gt;$D$7,$B$2*(1-K$35)+$B$2*$E$2*(1-K$35)+$L$2*$Y$38*(K$35-$H37),IF($F$30*(1-$O$2)&gt;$P$2,$F$30*(1-$O$2)-$P$2,0))</f>
        <v>0</v>
      </c>
      <c r="L37" s="30">
        <f>IF($F$30&gt;$D$8,$B$2*(1-L$35)+$B$2*$E$2*(1-L$35)+$L$2*$Y$39*(L$35-$H37),IF($F$30*(1-$O$2)&gt;$P$2,$F$30*(1-$O$2)-$P$2,0))</f>
        <v>0</v>
      </c>
      <c r="M37" s="30">
        <f>IF($F$30&gt;$D$9,$B$2*(1-M$35)+$B$2*$E$2*(1-M$35)+$L$2*$Y$40*(M$35-$H37),IF($F$30*(1-$O$2)&gt;$P$2,$F$30*(1-$O$2)-$P$2,0))</f>
        <v>0</v>
      </c>
      <c r="N37" s="32">
        <f>IF($F$30&gt;D11,$B$2*(1-N$35)+$B$2*$E$2*(1-N$35)+$L$2*Y41*(N$35-$H37),IF($F$30*(1-$O$2)&gt;$P$2,$F$30*(1-$O$2)-$P$2,0))</f>
        <v>19.212246484694031</v>
      </c>
      <c r="O37" s="30">
        <f t="shared" si="6"/>
        <v>7.8546378078342833</v>
      </c>
      <c r="P37" s="15">
        <v>0.2</v>
      </c>
      <c r="Q37" s="145" t="s">
        <v>73</v>
      </c>
      <c r="R37" s="145"/>
      <c r="S37" s="145"/>
      <c r="T37" s="145"/>
      <c r="U37" s="145"/>
      <c r="V37" s="145"/>
      <c r="W37" s="63"/>
      <c r="X37" s="15">
        <v>0.2</v>
      </c>
      <c r="Y37" s="28">
        <f>R36/(1+$L$2*X37)</f>
        <v>0</v>
      </c>
      <c r="Z37" s="15"/>
      <c r="AA37" s="5"/>
    </row>
    <row r="38" spans="1:27" x14ac:dyDescent="0.25">
      <c r="H38" s="15">
        <v>0.4</v>
      </c>
      <c r="I38" s="22"/>
      <c r="J38" s="22"/>
      <c r="K38" s="30">
        <f>IF($E$20&gt;$D$7,$B$2*(1-K$35)+$B$2*$E$2*(1-K$35)+$L$2*$Y$38*(K$35-$H38),IF($E$20*(1-$O$2)&gt;$P$2,$E$20*(1-$O$2)-$P$2,0))</f>
        <v>0</v>
      </c>
      <c r="L38" s="30">
        <f>IF($E$20&gt;$D$8,$B$2*(1-L$35)+$B$2*$E$2*(1-L$35)+$L$2*$Y$39*(L$35-$H38),IF($E$20*(1-$O$2)&gt;$P$2,$E$20*(1-$O$2)-$P$2,0))</f>
        <v>0</v>
      </c>
      <c r="M38" s="30">
        <f>IF($F$30&gt;$D$9,$B$2*(1-M$35)+$B$2*$E$2*(1-M$35)+$L$2*$Y$40*(M$35-$H38),IF($F$30*(1-$O$2)&gt;$P$2,$F$30*(1-$O$2)-$P$2,0))</f>
        <v>0</v>
      </c>
      <c r="N38" s="32">
        <f>IF($F$30&gt;D11,$B$2*(1-N$35)+$B$2*$E$2*(1-N$35)+$L$2*Y41*(N$35-$H38),IF($F$30*(1-$O$2)&gt;$P$2,$F$30*(1-$O$2)-$P$2,0))</f>
        <v>19.111521812212086</v>
      </c>
      <c r="O38" s="30">
        <f t="shared" si="6"/>
        <v>5.8909783558757116</v>
      </c>
      <c r="P38" s="15">
        <v>0.4</v>
      </c>
      <c r="Q38" s="145"/>
      <c r="R38" s="145"/>
      <c r="S38" s="145"/>
      <c r="T38" s="145"/>
      <c r="U38" s="145"/>
      <c r="V38" s="145"/>
      <c r="W38" s="63"/>
      <c r="X38" s="15">
        <v>0.4</v>
      </c>
      <c r="Y38" s="28">
        <f>S36/(1+$L$2*X38)</f>
        <v>0</v>
      </c>
      <c r="Z38" s="15"/>
      <c r="AA38" s="5"/>
    </row>
    <row r="39" spans="1:27" x14ac:dyDescent="0.25">
      <c r="H39" s="15">
        <v>0.6</v>
      </c>
      <c r="I39" s="5"/>
      <c r="J39" s="5"/>
      <c r="K39" s="5"/>
      <c r="L39" s="30">
        <f>IF($E$20&gt;$D$8,$B$2*(1-L$35)+$B$2*$E$2*(1-L$35)+$L$2*$Y$39*(L$35-$H39),IF($E$20*(1-$O$2)&gt;$P$2,$E$20*(1-$O$2)-$P$2,0))</f>
        <v>0</v>
      </c>
      <c r="M39" s="30">
        <f>IF($F$30&gt;$D$9,$B$2*(1-M$35)+$B$2*$E$2*(1-M$35)+$L$2*$Y$40*(M$35-$H39),IF($F$30*(1-$O$2)&gt;$P$2,$F$30*(1-$O$2)-$P$2,0))</f>
        <v>0</v>
      </c>
      <c r="N39" s="32">
        <f>IF($F$30&gt;D11,$B$2*(1-N$35)+$B$2*$E$2*(1-N$35)+$L$2*$Y$41*(N$35-$H39),IF($F$30*(1-$O$2)&gt;$P$2,$F$30*(1-$O$2)-$P$2,0))</f>
        <v>19.010797139730141</v>
      </c>
      <c r="O39" s="30">
        <f t="shared" si="6"/>
        <v>3.9273189039171417</v>
      </c>
      <c r="P39" s="15">
        <v>0.6</v>
      </c>
      <c r="Q39" s="145"/>
      <c r="R39" s="145"/>
      <c r="S39" s="145"/>
      <c r="T39" s="145"/>
      <c r="U39" s="145"/>
      <c r="V39" s="145"/>
      <c r="W39" s="63"/>
      <c r="X39" s="15">
        <v>0.6</v>
      </c>
      <c r="Y39" s="28">
        <f>T36/(1+$L$2*X39)</f>
        <v>0</v>
      </c>
      <c r="Z39" s="15"/>
      <c r="AA39" s="5"/>
    </row>
    <row r="40" spans="1:27" x14ac:dyDescent="0.25">
      <c r="H40" s="15">
        <v>0.8</v>
      </c>
      <c r="I40" s="5"/>
      <c r="J40" s="5"/>
      <c r="K40" s="5"/>
      <c r="L40" s="5"/>
      <c r="M40" s="30">
        <f>IF($F$30&gt;$D$9,$B$2*(1-M$35)+$B$2*$E$2*(1-M$35)+$L$2*$Y$40*(M$35-$H40),IF($F$30*(1-$O$2)&gt;$P$2,$F$30*(1-$O$2)-$P$2,0))</f>
        <v>0</v>
      </c>
      <c r="N40" s="32">
        <f>IF($F$30&gt;D11,$B$2*(1-N$35)+$B$2*$E$2*(1-N$35)+$L$2*Y41*(N$35-$H40),IF($F$30*(1-$O$2)&gt;$P$2,$F$30*(1-$O$2)-$P$2,0))</f>
        <v>18.910072467248195</v>
      </c>
      <c r="O40" s="30">
        <f t="shared" si="6"/>
        <v>1.9636594519585702</v>
      </c>
      <c r="P40" s="15">
        <v>0.8</v>
      </c>
      <c r="Q40" s="145"/>
      <c r="R40" s="145"/>
      <c r="S40" s="145"/>
      <c r="T40" s="145"/>
      <c r="U40" s="145"/>
      <c r="V40" s="145"/>
      <c r="W40" s="63"/>
      <c r="X40" s="15">
        <v>0.8</v>
      </c>
      <c r="Y40" s="28">
        <f>U36/(1+$L$2*X40)</f>
        <v>0</v>
      </c>
      <c r="Z40" s="15"/>
      <c r="AA40" s="5"/>
    </row>
    <row r="41" spans="1:27" x14ac:dyDescent="0.25">
      <c r="H41" s="15">
        <v>0.81</v>
      </c>
      <c r="I41" s="5"/>
      <c r="J41" s="5"/>
      <c r="K41" s="5"/>
      <c r="L41" s="5"/>
      <c r="M41" s="32"/>
      <c r="N41" s="32">
        <f>IF($F$30&gt;D11,$B$2*(1-N$35)+$B$2*$E$2*(1-N$35)+$L$2*Y41*(N$35-$H41),IF($F$30*(1-$O$2)&gt;$P$2,$F$30*(1-$O$2)-$P$2,0))</f>
        <v>18.905036233624099</v>
      </c>
      <c r="O41" s="30">
        <f t="shared" si="6"/>
        <v>1.8654764793606415</v>
      </c>
      <c r="P41" s="15">
        <v>0.82</v>
      </c>
      <c r="Q41" s="145"/>
      <c r="R41" s="145"/>
      <c r="S41" s="145"/>
      <c r="T41" s="145"/>
      <c r="U41" s="145"/>
      <c r="V41" s="145"/>
      <c r="W41" s="63"/>
      <c r="X41" s="15">
        <v>0.82</v>
      </c>
      <c r="Y41" s="28">
        <f>V36/(1+$L$2*X41)</f>
        <v>0.50362336240972683</v>
      </c>
      <c r="Z41" s="15"/>
      <c r="AA41" s="5"/>
    </row>
    <row r="42" spans="1:27" x14ac:dyDescent="0.25">
      <c r="A42" s="147" t="s">
        <v>109</v>
      </c>
      <c r="B42" s="147"/>
      <c r="C42" s="147"/>
      <c r="D42" s="147"/>
      <c r="E42" s="147"/>
      <c r="H42" s="15">
        <v>1</v>
      </c>
      <c r="I42" s="5"/>
      <c r="J42" s="5"/>
      <c r="K42" s="5"/>
      <c r="L42" s="5"/>
      <c r="M42" s="5"/>
      <c r="N42" s="5"/>
      <c r="O42" s="32">
        <f t="shared" si="6"/>
        <v>0</v>
      </c>
      <c r="P42" s="15">
        <v>1</v>
      </c>
      <c r="X42" s="15">
        <v>1</v>
      </c>
      <c r="Y42" s="28">
        <f>W36/(1+$L$2*X42)</f>
        <v>9.8182972597928533</v>
      </c>
      <c r="Z42" s="15"/>
      <c r="AA42" s="5"/>
    </row>
    <row r="43" spans="1:27" x14ac:dyDescent="0.25">
      <c r="A43" s="16" t="s">
        <v>20</v>
      </c>
      <c r="B43" s="16"/>
      <c r="C43" s="16"/>
      <c r="D43" s="16"/>
      <c r="E43" s="16"/>
      <c r="F43" s="16"/>
      <c r="G43" s="16"/>
    </row>
    <row r="44" spans="1:27" x14ac:dyDescent="0.25">
      <c r="A44" s="16" t="s">
        <v>11</v>
      </c>
      <c r="B44" s="16"/>
      <c r="C44" s="16"/>
      <c r="D44" s="16"/>
      <c r="E44" s="16"/>
      <c r="F44" s="16"/>
      <c r="G44" s="16"/>
    </row>
    <row r="45" spans="1:27" x14ac:dyDescent="0.25">
      <c r="A45" s="36">
        <f>($J$2*I9+$K$2*AG9)*EXP(-$M$2*$N$2)</f>
        <v>103.321523434127</v>
      </c>
      <c r="B45" s="16"/>
      <c r="C45" s="16"/>
      <c r="D45" s="16"/>
      <c r="E45" s="16"/>
      <c r="F45" s="16"/>
      <c r="G45" s="16"/>
    </row>
    <row r="46" spans="1:27" x14ac:dyDescent="0.25">
      <c r="A46" s="16" t="s">
        <v>13</v>
      </c>
      <c r="B46" s="17">
        <v>0</v>
      </c>
      <c r="C46" s="17">
        <v>0.2</v>
      </c>
      <c r="D46" s="17">
        <v>0.4</v>
      </c>
      <c r="E46" s="17">
        <v>0.6</v>
      </c>
      <c r="F46" s="17">
        <v>0.8</v>
      </c>
      <c r="G46" s="17">
        <v>1</v>
      </c>
    </row>
    <row r="47" spans="1:27" x14ac:dyDescent="0.25">
      <c r="A47" s="16"/>
      <c r="B47" s="16">
        <f>($J$2*Y11+$K$2*AW11)*EXP(-$M$2*$N$2)</f>
        <v>112.28052050167857</v>
      </c>
      <c r="C47" s="16">
        <f>($J$2*Z12+$K$2*AX12)*EXP(-$M$2*$N$2)</f>
        <v>90.891897508969407</v>
      </c>
      <c r="D47" s="16">
        <f>($J$2*AA13+$K$2*AY13)*EXP(-$M$2*$N$2)</f>
        <v>69.517534278525105</v>
      </c>
      <c r="E47" s="16">
        <f>($J$2*AB14+$K$2*AZ14)*EXP(-$M$2*$N$2)</f>
        <v>48.14638388702452</v>
      </c>
      <c r="F47" s="16">
        <f>($J$2*AC15+$K$2*BA15)*EXP(-$M$2*$N$2)</f>
        <v>26.78346360586502</v>
      </c>
      <c r="G47" s="16">
        <f>($J$2*AD16+$K$2*BB16)*EXP(-$M$2*$N$2)</f>
        <v>0</v>
      </c>
    </row>
    <row r="48" spans="1:27" x14ac:dyDescent="0.25">
      <c r="A48" s="16" t="s">
        <v>14</v>
      </c>
      <c r="B48" s="17">
        <v>0</v>
      </c>
      <c r="C48" s="17">
        <v>0.2</v>
      </c>
      <c r="D48" s="17">
        <v>0.4</v>
      </c>
      <c r="E48" s="17">
        <v>0.6</v>
      </c>
      <c r="F48" s="17">
        <v>0.8</v>
      </c>
      <c r="G48" s="17">
        <v>1</v>
      </c>
    </row>
    <row r="49" spans="1:7" x14ac:dyDescent="0.25">
      <c r="A49" s="16"/>
      <c r="B49" s="16">
        <f>($W11*(1+B$46)*$J$2+$AU11*(1+B$46)*$K$2)*EXP(-$M$2*$N$2)+A26</f>
        <v>98.578352421254223</v>
      </c>
      <c r="C49" s="16">
        <f>($W12*(1+C$46)*$J$2+$AU12*(1+C$46)*$K$2)*EXP(-$M$2*$N$2)+A26</f>
        <v>119.77862250724655</v>
      </c>
      <c r="D49" s="16">
        <f>($W13*(1+D$46)*$J$2+$AU13*(1+D$46)*$K$2)*EXP(-$M$2*$N$2)+A26</f>
        <v>140.87768816651206</v>
      </c>
      <c r="E49" s="16">
        <f>($W14*(1+E$46)*$J$2+$AU14*(1+E$46)*$K$2)*EXP(-$M$2*$N$2)+A26</f>
        <v>161.97354098683383</v>
      </c>
      <c r="F49" s="16">
        <f>($W15*(1+F$46)*$J$2+$AU15*(1+F$46)*$K$2)*EXP(-$M$2*$N$2)+A26</f>
        <v>183.14810836127648</v>
      </c>
      <c r="G49" s="16">
        <f>($W16*(1+G$46)*$J$2+$AU16*(1+G$46)*$K$2)*EXP(-$M$2*$N$2)+A26</f>
        <v>209.60437251835523</v>
      </c>
    </row>
    <row r="50" spans="1:7" x14ac:dyDescent="0.25">
      <c r="A50" s="16" t="s">
        <v>15</v>
      </c>
      <c r="B50" s="17">
        <v>0</v>
      </c>
      <c r="C50" s="17">
        <v>0.2</v>
      </c>
      <c r="D50" s="17">
        <v>0.4</v>
      </c>
      <c r="E50" s="17">
        <v>0.6</v>
      </c>
      <c r="F50" s="17">
        <v>0.8</v>
      </c>
      <c r="G50" s="17">
        <v>1</v>
      </c>
    </row>
    <row r="51" spans="1:7" x14ac:dyDescent="0.25">
      <c r="A51" s="16"/>
      <c r="B51" s="16">
        <f t="shared" ref="B51:G51" si="8">B49/(1+B50*$L$2)</f>
        <v>98.578352421254223</v>
      </c>
      <c r="C51" s="16">
        <f t="shared" si="8"/>
        <v>99.815518756038799</v>
      </c>
      <c r="D51" s="16">
        <f t="shared" si="8"/>
        <v>100.62692011893719</v>
      </c>
      <c r="E51" s="16">
        <f t="shared" si="8"/>
        <v>101.23346311677113</v>
      </c>
      <c r="F51" s="16">
        <f t="shared" si="8"/>
        <v>101.74894908959804</v>
      </c>
      <c r="G51" s="16">
        <f t="shared" si="8"/>
        <v>104.80218625917762</v>
      </c>
    </row>
    <row r="52" spans="1:7" x14ac:dyDescent="0.25">
      <c r="A52" s="16" t="s">
        <v>19</v>
      </c>
      <c r="B52" s="17">
        <v>0</v>
      </c>
      <c r="C52" s="17">
        <v>0.2</v>
      </c>
      <c r="D52" s="17">
        <v>0.4</v>
      </c>
      <c r="E52" s="17">
        <v>0.6</v>
      </c>
      <c r="F52" s="17">
        <v>0.8</v>
      </c>
      <c r="G52" s="17">
        <v>1</v>
      </c>
    </row>
    <row r="53" spans="1:7" x14ac:dyDescent="0.25">
      <c r="A53" s="16"/>
      <c r="B53" s="25">
        <f t="shared" ref="B53:G53" si="9">B47+B52*$L$2*B51</f>
        <v>112.28052050167857</v>
      </c>
      <c r="C53" s="65">
        <f t="shared" si="9"/>
        <v>110.85500126017718</v>
      </c>
      <c r="D53" s="18">
        <f t="shared" si="9"/>
        <v>109.76830232609998</v>
      </c>
      <c r="E53" s="18">
        <f t="shared" si="9"/>
        <v>108.8864617570872</v>
      </c>
      <c r="F53" s="18">
        <f t="shared" si="9"/>
        <v>108.18262287754347</v>
      </c>
      <c r="G53" s="18">
        <f t="shared" si="9"/>
        <v>104.80218625917762</v>
      </c>
    </row>
  </sheetData>
  <mergeCells count="9">
    <mergeCell ref="A42:E42"/>
    <mergeCell ref="AW9:BA9"/>
    <mergeCell ref="Q37:V41"/>
    <mergeCell ref="AN12:AS16"/>
    <mergeCell ref="A3:D3"/>
    <mergeCell ref="P12:U16"/>
    <mergeCell ref="P21:U25"/>
    <mergeCell ref="P29:U33"/>
    <mergeCell ref="Y9:AC9"/>
  </mergeCells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5"/>
  <sheetViews>
    <sheetView topLeftCell="A31" zoomScale="64" zoomScaleNormal="64" workbookViewId="0">
      <selection activeCell="B40" sqref="B40"/>
    </sheetView>
  </sheetViews>
  <sheetFormatPr defaultRowHeight="16.5" x14ac:dyDescent="0.25"/>
  <cols>
    <col min="3" max="3" width="9.125" bestFit="1" customWidth="1"/>
    <col min="7" max="7" width="12.125" bestFit="1" customWidth="1"/>
    <col min="8" max="8" width="10.125" customWidth="1"/>
    <col min="9" max="9" width="9.5" customWidth="1"/>
    <col min="10" max="14" width="10" bestFit="1" customWidth="1"/>
    <col min="15" max="15" width="15" bestFit="1" customWidth="1"/>
    <col min="16" max="16" width="12" customWidth="1"/>
    <col min="17" max="17" width="23" bestFit="1" customWidth="1"/>
    <col min="18" max="18" width="13.375" bestFit="1" customWidth="1"/>
    <col min="19" max="19" width="12.875" customWidth="1"/>
    <col min="20" max="20" width="14.625" customWidth="1"/>
    <col min="21" max="21" width="11.25" customWidth="1"/>
    <col min="23" max="23" width="9.625" bestFit="1" customWidth="1"/>
    <col min="25" max="25" width="8.875" customWidth="1"/>
    <col min="26" max="26" width="10.125" customWidth="1"/>
    <col min="27" max="27" width="9.5" bestFit="1" customWidth="1"/>
    <col min="28" max="29" width="9.125" bestFit="1" customWidth="1"/>
    <col min="30" max="30" width="9.125" customWidth="1"/>
    <col min="31" max="31" width="10.5" bestFit="1" customWidth="1"/>
    <col min="32" max="32" width="9.125" bestFit="1" customWidth="1"/>
    <col min="33" max="33" width="10" customWidth="1"/>
    <col min="34" max="34" width="12.75" bestFit="1" customWidth="1"/>
    <col min="36" max="36" width="13.375" bestFit="1" customWidth="1"/>
    <col min="38" max="38" width="8.875" customWidth="1"/>
    <col min="39" max="39" width="8.125" customWidth="1"/>
    <col min="40" max="40" width="10.625" customWidth="1"/>
    <col min="41" max="41" width="11" customWidth="1"/>
    <col min="53" max="53" width="10.125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78</v>
      </c>
      <c r="M1" s="26" t="s">
        <v>79</v>
      </c>
      <c r="N1" t="s">
        <v>80</v>
      </c>
      <c r="O1" t="s">
        <v>81</v>
      </c>
      <c r="P1" s="26" t="s">
        <v>82</v>
      </c>
      <c r="Q1" t="s">
        <v>83</v>
      </c>
      <c r="R1" t="s">
        <v>84</v>
      </c>
      <c r="AA1" t="s">
        <v>85</v>
      </c>
      <c r="AB1" s="26" t="s">
        <v>86</v>
      </c>
      <c r="AC1" s="26">
        <f>($J$2*I$27+$K$2*N$35)*EXP(-$M$2*$N$2)+$A$2*$D$2</f>
        <v>8</v>
      </c>
      <c r="AD1" s="26">
        <f>($J$2*J$27+$K$2*N$35)*EXP(-$M$2*$N$2)+$A$2*$D$2</f>
        <v>8</v>
      </c>
      <c r="AE1" s="26">
        <f>($J$2*K$27+$K$2*N$35)*EXP(-$M$2*$N$2)+$A$2*$D$2</f>
        <v>8</v>
      </c>
      <c r="AF1" s="26">
        <f>($J$2*L$27+$K$2*N$35)*EXP(-$M$2*$N$2)+$A$2*$D$2</f>
        <v>8</v>
      </c>
      <c r="AG1" s="26">
        <f>($J$2*M$27+$K$2*N$35)*EXP(-$M$2*$N$2)+$A$2*$D$2</f>
        <v>8</v>
      </c>
      <c r="AH1" s="26">
        <f>($J$2*N$27+$K$2*N$35)*EXP(-$M$2*$N$2)+$A$2*$D$2</f>
        <v>8</v>
      </c>
    </row>
    <row r="2" spans="1:59" x14ac:dyDescent="0.25">
      <c r="A2">
        <v>100</v>
      </c>
      <c r="B2">
        <v>100</v>
      </c>
      <c r="C2">
        <v>0.2</v>
      </c>
      <c r="D2">
        <v>0.08</v>
      </c>
      <c r="E2">
        <v>0.05</v>
      </c>
      <c r="G2">
        <v>0.46</v>
      </c>
      <c r="H2">
        <f>EXP(G2*SQRT(N2))</f>
        <v>1.5840739849944818</v>
      </c>
      <c r="I2">
        <f>1/H2</f>
        <v>0.63128364550692595</v>
      </c>
      <c r="J2">
        <f>(EXP(M2*N2)-I2)/(H2-I2)</f>
        <v>0.451886299844308</v>
      </c>
      <c r="K2">
        <f>1-J2</f>
        <v>0.54811370015569194</v>
      </c>
      <c r="L2">
        <v>1</v>
      </c>
      <c r="M2" s="26">
        <v>0.06</v>
      </c>
      <c r="N2">
        <v>1</v>
      </c>
      <c r="O2">
        <v>0.2</v>
      </c>
      <c r="P2" s="26">
        <f>$A$2+$A$2*$D$2*$N$2</f>
        <v>108</v>
      </c>
      <c r="Q2">
        <f>P2*EXP(-$M$2*$N$2)+$A$2*$D$2*$N$2</f>
        <v>109.71056962709886</v>
      </c>
      <c r="R2">
        <v>106</v>
      </c>
      <c r="AA2" s="9" t="s">
        <v>86</v>
      </c>
      <c r="AB2" s="10" t="s">
        <v>87</v>
      </c>
      <c r="AC2" s="10">
        <v>0</v>
      </c>
      <c r="AD2" s="10">
        <v>0.2</v>
      </c>
      <c r="AE2" s="10">
        <v>0.4</v>
      </c>
      <c r="AF2" s="10">
        <v>0.6</v>
      </c>
      <c r="AG2" s="10">
        <v>0.8</v>
      </c>
      <c r="AH2" s="10">
        <v>1</v>
      </c>
      <c r="AI2" s="10" t="s">
        <v>88</v>
      </c>
      <c r="AJ2" s="10">
        <v>0</v>
      </c>
      <c r="AK2" s="10">
        <v>0.2</v>
      </c>
      <c r="AL2" s="10">
        <v>0.4</v>
      </c>
      <c r="AM2" s="10">
        <v>0.6</v>
      </c>
      <c r="AN2" s="10">
        <v>0.8</v>
      </c>
      <c r="AO2" s="10">
        <v>1</v>
      </c>
      <c r="AP2" s="9" t="s">
        <v>89</v>
      </c>
      <c r="AQ2" s="14" t="s">
        <v>90</v>
      </c>
      <c r="AR2" s="13" t="s">
        <v>91</v>
      </c>
      <c r="AS2" s="13" t="s">
        <v>92</v>
      </c>
      <c r="AT2" s="9" t="s">
        <v>85</v>
      </c>
      <c r="AU2" s="10">
        <v>0</v>
      </c>
      <c r="AV2" s="10">
        <v>0.2</v>
      </c>
      <c r="AW2" s="10">
        <v>0.4</v>
      </c>
      <c r="AX2" s="10">
        <v>0.6</v>
      </c>
      <c r="AY2" s="10">
        <v>0.8</v>
      </c>
      <c r="AZ2" s="10">
        <v>1</v>
      </c>
      <c r="BA2" s="52" t="s">
        <v>93</v>
      </c>
      <c r="BB2" s="44">
        <v>0</v>
      </c>
      <c r="BC2" s="44">
        <v>0.2</v>
      </c>
      <c r="BD2" s="44">
        <v>0.4</v>
      </c>
      <c r="BE2" s="44">
        <v>0.6</v>
      </c>
      <c r="BF2" s="44">
        <v>0.8</v>
      </c>
      <c r="BG2" s="44">
        <v>1</v>
      </c>
    </row>
    <row r="3" spans="1:59" x14ac:dyDescent="0.25">
      <c r="A3" s="147" t="s">
        <v>94</v>
      </c>
      <c r="B3" s="147"/>
      <c r="C3" s="147"/>
      <c r="D3" s="147"/>
      <c r="E3" s="21"/>
      <c r="F3" s="21"/>
      <c r="AA3" s="11"/>
      <c r="AB3" s="10">
        <v>0</v>
      </c>
      <c r="AC3" s="37">
        <f>MIN(AC9,(L29*$J$2+O37*$K$2)*EXP(-$M$2*$N$2)+$B$2*(1-AC2)*$E$2)</f>
        <v>54.98850241294619</v>
      </c>
      <c r="AD3" s="138">
        <f>MIN(AD9,(M30*$J$2+O38*$K$2)*EXP(-$M$2*$N$2)+$B$2*(1-AD2)*$E$2)</f>
        <v>43.976616247343415</v>
      </c>
      <c r="AE3" s="138">
        <f>MIN(AE9,(N31*$J$2+O39*$K$2)*EXP(-$M$2*$N$2)+$B$2*(1-AE2)*$E$2)</f>
        <v>32.973950775699436</v>
      </c>
      <c r="AF3" s="138">
        <f>MIN(AF9,(N32*$J$2+O40*$K$2)*EXP(-$M$2*$N$2)+$B$2*(1-AF2)*$E$2)</f>
        <v>21.982633850466296</v>
      </c>
      <c r="AG3" s="138">
        <f>MIN(AG9,(N33*$J$2+O41*$K$2)*EXP(-$M$2*$N$2)+$B$2*(1-AG2)*$E$2)</f>
        <v>10.991316925233145</v>
      </c>
      <c r="AH3" s="138">
        <f>MIN(AH9,(N34*$J$2+O43*$K$2)*EXP(-$M$2*$N$2)+$B$2*(1-AH2)*$E$2)</f>
        <v>0</v>
      </c>
      <c r="AI3" s="12" t="s">
        <v>90</v>
      </c>
      <c r="AJ3" s="35">
        <f>MAX((W32*(1+$L$2*AJ2)*$J$2+Y43*(1+$L$2*AJ2)*$K$2)*EXP(-$M$2*$N$2)-$A$2*$D$2*(1-$C$2)-$B$2*$E$2*(1-AJ2)*(1-$C$2),0)</f>
        <v>39.694895035547674</v>
      </c>
      <c r="AK3" s="35">
        <f>MAX((W33*(1+$L$2*AK2)*$J$2+Y43*(1+$L$2*AK2)*$K$2)*EXP(-$M$2*$N$2)-$A$2*$D$2*(1-$C$2)-$B$2*$E$2*(1-AK2)*(1-$C$2),0)</f>
        <v>50.42166710306924</v>
      </c>
      <c r="AL3" s="35">
        <f>MAX((W34*(1+$L$2*AL2)*$J$2+Y43*(1+$L$2*AL2)*$K$2)*EXP(-$M$2*$N$2)-$A$2*$D$2*(1-$C$2)-$B$2*$E$2*(1-AL2)*(1-$C$2),0)</f>
        <v>61.139218476632024</v>
      </c>
      <c r="AM3" s="35">
        <f>MAX((W34*(1+$L$2*AM2)*$J$2+Y43*(1+$L$2*AM2)*$K$2)*EXP(-$M$2*$N$2)-$A$2*$D$2*(1-$C$2)-$B$2*$E$2*(1-AM2)*(1-$C$2),0)</f>
        <v>71.930535401865185</v>
      </c>
      <c r="AN3" s="35">
        <f>MAX((W34*(1+$L$2*AN2)*$J$2+Y43*(1+$L$2*AN2)*$K$2)*EXP(-$M$2*$N$2)-$A$2*$D$2*(1-$C$2)-$B$2*$E$2*(1-AN2)*(1-$C$2),0)</f>
        <v>82.721852327098304</v>
      </c>
      <c r="AO3" s="35">
        <f>MAX((W34*(1+$L$2*AO2)*$J$2+Y43*(1+$L$2*AO2)*$K$2)*EXP(-$M$2*$N$2)-$A$2*$D$2*(1-$C$2)-$B$2*$E$2*(1-AO2)*(1-$C$2),0)</f>
        <v>93.513169252331451</v>
      </c>
      <c r="AP3" s="10">
        <v>0</v>
      </c>
      <c r="AQ3" s="9">
        <f>AJ3/(1+$L$2*AP3)</f>
        <v>39.694895035547674</v>
      </c>
      <c r="AR3" s="9">
        <f>AJ$4/(1+$L$2*AP3)</f>
        <v>0</v>
      </c>
      <c r="AS3" s="9">
        <f>AJ$5/(1+$L$2*AP3)</f>
        <v>93.513169252331451</v>
      </c>
      <c r="AT3" s="10">
        <v>0</v>
      </c>
      <c r="AU3" s="139">
        <f>IF(AJ3&gt;0,AC3+(AU2-$AT$3)*$L$2*AQ3,IF((1-$O$2)*$C$18-$Q$2&gt;0,(1-$O$2)*$C$18-$Q$2,0))</f>
        <v>54.98850241294619</v>
      </c>
      <c r="AV3" s="49">
        <f>IF(AK3&gt;0,AD3+(AV2-$AT$3)*$L$2*AQ4,IF((1-$O$2)*$C$18-$Q$2&gt;0,(1-$O$2)*$C$18-$Q$2,0))</f>
        <v>52.380227431188288</v>
      </c>
      <c r="AW3" s="49">
        <f>IF(AL3&gt;0,AE3+(AW2-$AT$3)*$L$2*AQ5,IF((1-$O$2)*$C$18-$Q$2&gt;0,(1-$O$2)*$C$18-$Q$2,0))</f>
        <v>50.442298911880016</v>
      </c>
      <c r="AX3" s="49">
        <f>IF(AM3&gt;0,AF3+(AX2-$AT$3)*$L$2*AQ6,IF((1-$O$2)*$C$18-$Q$2&gt;0,(1-$O$2)*$C$18-$Q$2,0))</f>
        <v>48.956584626165736</v>
      </c>
      <c r="AY3" s="49">
        <f>IF(AN3&gt;0,AG3+(AY2-$AT$3)*$L$2*AQ7,IF((1-$O$2)*$C$18-$Q$2&gt;0,(1-$O$2)*$C$18-$Q$2,0))</f>
        <v>47.756584626165719</v>
      </c>
      <c r="AZ3" s="49">
        <f>IF(AO3&gt;0,AH3+(AZ2-$AT$3)*$L$2*AQ8,IF((1-$O$2)*$C$18-$Q$2&gt;0,(1-$O$2)*$C$18-$Q$2,0))</f>
        <v>46.756584626165726</v>
      </c>
      <c r="BA3" s="52" t="s">
        <v>95</v>
      </c>
      <c r="BB3" s="54">
        <f>IF(AJ3&gt;0,(AA28*$J$2+AI36*$K$2)*EXP(-$M$2*$N$2)+$A$2*$D$2,MIN((1-$O$2)*$C$18,Q2))</f>
        <v>109.71056962709886</v>
      </c>
      <c r="BC3" s="54">
        <f>IF(AK3&gt;0,(AB28*$J$2+AI36*$K$2)*EXP(-$M$2*$N$2)+$A$2*$D$2,MIN((1-$O$2)*$C$18,R2))</f>
        <v>109.71056962709886</v>
      </c>
      <c r="BD3" s="54">
        <f>IF(AL3&gt;0,(AC28*$J$2+AI36*$K$2)*EXP(-$M$2*$N$2)+$A$2*$D$2,MIN((1-$O$2)*$C$18,S2))</f>
        <v>109.71056962709886</v>
      </c>
      <c r="BE3" s="54">
        <f>IF(AM3&gt;0,(AD28*$J$2+AI36*$K$2)*EXP(-$M$2*$N$2)+$A$2*$D$2,MIN((1-$O$2)*$C$18,T2))</f>
        <v>109.71056962709886</v>
      </c>
      <c r="BF3" s="54">
        <f>IF(AN3&gt;0,(AE28*$J$2+AI36*$K$2)*EXP(-$M$2*$N$2)+$A$2*$D$2,MIN((1-$O$2)*$C$18,U2))</f>
        <v>109.71056962709886</v>
      </c>
      <c r="BG3" s="54">
        <f>IF(AO3&gt;0,(AF28*$J$2+AI36*$K$2)*EXP(-$M$2*$N$2)+$A$2*$D$2,MIN((1-$O$2)*$C$18,V2))</f>
        <v>109.71056962709886</v>
      </c>
    </row>
    <row r="4" spans="1:59" x14ac:dyDescent="0.25">
      <c r="A4" s="3"/>
      <c r="B4" t="s">
        <v>96</v>
      </c>
      <c r="C4" t="s">
        <v>97</v>
      </c>
      <c r="D4" t="s">
        <v>98</v>
      </c>
      <c r="AA4" s="10"/>
      <c r="AB4" s="10">
        <v>0.2</v>
      </c>
      <c r="AC4" s="9"/>
      <c r="AD4" s="9">
        <f>MIN(AD9,(M30*$J$2+O38*$K$2)*EXP(-$M$2*$N$2)+$B$2*(1-AD2)*$E$2)</f>
        <v>43.976616247343415</v>
      </c>
      <c r="AE4" s="9">
        <f>MIN(AE9,(N31*$J$2+O39*$K$2)*EXP(-$M$2*$N$2)+$B$2*(1-AE2)*$E$2)</f>
        <v>32.973950775699436</v>
      </c>
      <c r="AF4" s="9">
        <f>MIN(AF9,(N32*$J$2+O40*$K$2)*EXP(-$M$2*$N$2)+$B$2*(1-AF2)*$E$2)</f>
        <v>21.982633850466296</v>
      </c>
      <c r="AG4" s="9">
        <f>MIN(AG9,(N33*$J$2+O41*$K$2)*EXP(-$M$2*$N$2)+$B$2*(1-AG2)*$E$2)</f>
        <v>10.991316925233145</v>
      </c>
      <c r="AH4" s="9">
        <f>MIN(AH9,(N34*$J$2+O43*$K$2)*EXP(-$M$2*$N$2)+$B$2*(1-AH2)*$E$2)</f>
        <v>0</v>
      </c>
      <c r="AI4" s="12" t="s">
        <v>91</v>
      </c>
      <c r="AJ4" s="140">
        <f>MAX(($Y29*(1+$L$2*AJ2)*$J$2+$AA37*(1+$L$2*AJ2)*$K$2)*EXP(-$M$2*$N$2)-$A$2*$D$2*(1-$C$2)-(1-AJ2)*$R$2,0)</f>
        <v>0</v>
      </c>
      <c r="AK4" s="140">
        <f>MAX(($Y30*(1+$L$2*AK2)*$J$2+$AA38*(1+$L$2*AK2)*$K$2)*EXP(-$M$2*$N$2)-$A$2*$D$2*(1-$C$2)-(1-AK2)*$R$2,0)</f>
        <v>8.7131692523314399</v>
      </c>
      <c r="AL4" s="140">
        <f>MAX(($Y31*(1+$L$2*AL2)*$J$2+$AA39*(1+$L$2*AL2)*$K$2)*EXP(-$M$2*$N$2)-$A$2*$D$2*(1-$C$2)-(1-AL2)*$R$2,0)</f>
        <v>29.913169252331485</v>
      </c>
      <c r="AM4" s="140">
        <f>MAX(($Y32*(1+$L$2*AM2)*$J$2+$AA40*(1+$L$2*AM2)*$K$2)*EXP(-$M$2*$N$2)-$A$2*$D$2*(1-$C$2)-(1-AM2)*$R$2,0)</f>
        <v>51.113169252331474</v>
      </c>
      <c r="AN4" s="140">
        <f>MAX(($Y33*(1+$L$2*AN2)*$J$2+$AA41*(1+$L$2*AN2)*$K$2)*EXP(-$M$2*$N$2)-$A$2*$D$2*(1-$C$2)-(1-AN2)*$R$2,0)</f>
        <v>72.313169252331448</v>
      </c>
      <c r="AO4" s="140">
        <f>MAX(($Y34*(1+$L$2*AO2)*$J$2+$AA43*(1+$L$2*AO2)*$K$2)*EXP(-$M$2*$N$2)-$A$2*$D$2*(1-$C$2)-(1-AO2)*$R$2,0)</f>
        <v>93.513169252331451</v>
      </c>
      <c r="AP4" s="10">
        <v>0.2</v>
      </c>
      <c r="AQ4" s="9">
        <f>AK3/(1+$L$2*AP4)</f>
        <v>42.018055919224366</v>
      </c>
      <c r="AR4" s="9">
        <f>AK$4/(1+$L$2*AP4)</f>
        <v>7.2609743769428672</v>
      </c>
      <c r="AS4" s="9">
        <f>AK$5/(1+$L$2*AP4)</f>
        <v>77.92764104360954</v>
      </c>
      <c r="AT4" s="10">
        <v>0.2</v>
      </c>
      <c r="AU4" s="50"/>
      <c r="AV4" s="139">
        <f>IF(AK3&gt;0,AD4+(AV2-$AT$4)*$L$2*AQ4,IF((1-$O$2)*$C$18-$Q$2&gt;0,(1-$O$2)*$C$18-$Q$2,0))</f>
        <v>43.976616247343415</v>
      </c>
      <c r="AW4" s="49">
        <f>IF(AL3&gt;0,AE4+(AW2-$AT$4)*$L$2*AQ5,IF((1-$O$2)*$C$18-$Q$2&gt;0,(1-$O$2)*$C$18-$Q$2,0))</f>
        <v>41.708124843789726</v>
      </c>
      <c r="AX4" s="49">
        <f>IF(AM3&gt;0,AF4+(AX2-$AT$4)*$L$2*AQ6,IF((1-$O$2)*$C$18-$Q$2&gt;0,(1-$O$2)*$C$18-$Q$2,0))</f>
        <v>39.965267700932586</v>
      </c>
      <c r="AY4" s="49">
        <f>IF(AN3&gt;0,AG4+(AY2-$AT$4)*$L$2*AQ7,IF((1-$O$2)*$C$18-$Q$2&gt;0,(1-$O$2)*$C$18-$Q$2,0))</f>
        <v>38.56526770093258</v>
      </c>
      <c r="AZ4" s="49">
        <f>IF(AO3&gt;0,AH4+(AZ2-$AT$4)*$L$2*AQ8,IF((1-$O$2)*$C$18-$Q$2&gt;0,(1-$O$2)*$C$18-$Q$2,0))</f>
        <v>37.405267700932583</v>
      </c>
      <c r="BA4" s="52" t="s">
        <v>99</v>
      </c>
      <c r="BB4" s="151" t="s">
        <v>100</v>
      </c>
      <c r="BC4" s="151"/>
      <c r="BD4" s="151"/>
      <c r="BE4" s="151"/>
      <c r="BF4" s="151"/>
      <c r="BG4" s="151"/>
    </row>
    <row r="5" spans="1:59" x14ac:dyDescent="0.25">
      <c r="A5" s="3">
        <v>0</v>
      </c>
      <c r="B5">
        <v>0</v>
      </c>
      <c r="C5" s="27">
        <f t="shared" ref="C5:C11" si="0">$A$2*(1-$C$2)*$D$2*$N$2+$B$2*(1-A5)*(1-$C$2)*$E$2*$N$2</f>
        <v>10.4</v>
      </c>
      <c r="D5" s="26">
        <f t="shared" ref="D5:D11" si="1">$A$2+$B$2*(1-A5)+$A$2*(1-$C$2)*$D$2*$N$2+$B$2*(1-A5)*(1-$C$2)*$E$2*$N$2</f>
        <v>210.4</v>
      </c>
      <c r="AA5" s="10"/>
      <c r="AB5" s="10">
        <v>0.4</v>
      </c>
      <c r="AC5" s="9"/>
      <c r="AD5" s="9"/>
      <c r="AE5" s="9">
        <f>MIN(AE9,(N31*$J$2+O39*$K$2)*EXP(-$M$2*$N$2)+$B$2*(1-AE2)*$E$2)</f>
        <v>32.973950775699436</v>
      </c>
      <c r="AF5" s="9">
        <f>MIN(AF9,(N32*$J$2+O40*$K$2)*EXP(-$M$2*$N$2)+$B$2*(1-AF2)*$E$2)</f>
        <v>21.982633850466296</v>
      </c>
      <c r="AG5" s="9">
        <f>MIN(AG9,(N33*$J$2+O41*$K$2)*EXP(-$M$2*$N$2)+$B$2*(1-AG2)*$E$2)</f>
        <v>10.991316925233145</v>
      </c>
      <c r="AH5" s="9">
        <f>MIN(AH9,(N34*$J$2+O43*$K$2)*EXP(-$M$2*$N$2)+$B$2*(1-AH2)*$E$2)</f>
        <v>0</v>
      </c>
      <c r="AI5" s="12" t="s">
        <v>92</v>
      </c>
      <c r="AJ5" s="71">
        <f>MAX(($Y29*(1+L2*AJ2)*$J$2+$AA37*(1+L2*AJ2)*$K$2)*EXP(-$M$2*$N$2)-$A$2*$D$2*(1-$C$2),0)</f>
        <v>93.513169252331451</v>
      </c>
      <c r="AK5" s="71">
        <f>MAX(($Y30*(1+L2*AK2)*$J$2+$AA38*(1+L2*AK2)*$K$2)*EXP(-$M$2*$N$2)-$A$2*$D$2*(1-$C$2),0)</f>
        <v>93.513169252331451</v>
      </c>
      <c r="AL5" s="71">
        <f>MAX(($Y31*(1+L2*AL2)*$J$2+$AA39*(1+L2*AL2)*$K$2)*EXP(-$M$2*$N$2)-$A$2*$D$2*(1-$C$2),0)</f>
        <v>93.51316925233148</v>
      </c>
      <c r="AM5" s="71">
        <f>MAX(($Y32*(1+L2*AM2)*$J$2+$AA40*(1+L2*AM2)*$K$2)*EXP(-$M$2*$N$2)-$A$2*$D$2*(1-$C$2),0)</f>
        <v>93.51316925233148</v>
      </c>
      <c r="AN5" s="71">
        <f>MAX(($Y33*(1+L2*AN2)*$J$2+$AA41*(1+L2*AN2)*$K$2)*EXP(-$M$2*$N$2)-$A$2*$D$2*(1-$C$2),0)</f>
        <v>93.513169252331451</v>
      </c>
      <c r="AO5" s="71">
        <f>MAX(($Y34*(1+L2*AO2)*$J$2+$AA43*(1+L2*AO2)*$K$2)*EXP(-$M$2*$N$2)-$A$2*$D$2*(1-$C$2),0)</f>
        <v>93.513169252331451</v>
      </c>
      <c r="AP5" s="10">
        <v>0.4</v>
      </c>
      <c r="AQ5" s="9">
        <f>AL3/(1+$L$2*AP5)</f>
        <v>43.670870340451451</v>
      </c>
      <c r="AR5" s="9">
        <f>AL$4/(1+$L$2*AP5)</f>
        <v>21.366549465951064</v>
      </c>
      <c r="AS5" s="9">
        <f>AL$5/(1+$L$2*AP5)</f>
        <v>66.795120894522483</v>
      </c>
      <c r="AT5" s="10">
        <v>0.4</v>
      </c>
      <c r="AU5" s="50"/>
      <c r="AV5" s="49"/>
      <c r="AW5" s="139">
        <f>IF(AL3&gt;0,AE5+(AW2-$AT$5)*$L$2*AQ5,IF((1-$O$2)*$C$18-$Q$2&gt;0,(1-$O$2)*$C$18-$Q$2,0))</f>
        <v>32.973950775699436</v>
      </c>
      <c r="AX5" s="49">
        <f>IF(AM3&gt;0,AF5+(AX2-$AT$5)*$L$2*AQ6,IF((1-$O$2)*$C$18-$Q$2&gt;0,(1-$O$2)*$C$18-$Q$2,0))</f>
        <v>30.973950775699443</v>
      </c>
      <c r="AY5" s="49">
        <f>IF(AN3&gt;0,AG5+(AY2-$AT$5)*$L$2*AQ7,IF((1-$O$2)*$C$18-$Q$2&gt;0,(1-$O$2)*$C$18-$Q$2,0))</f>
        <v>29.373950775699434</v>
      </c>
      <c r="AZ5" s="49">
        <f>IF(AO3&gt;0,AH5+(AZ2-$AT$5)*$L$2*AQ8,IF((1-$O$2)*$C$18-$Q$2&gt;0,(1-$O$2)*$C$18-$Q$2,0))</f>
        <v>28.053950775699434</v>
      </c>
      <c r="BA5" s="52" t="s">
        <v>101</v>
      </c>
      <c r="BB5" s="55">
        <f>IF(AJ5&gt;0,(AA30*$J$2+AC38*$K$2)*EXP(-$M$2*$N$2)+$A$2*$D$2,MIN((1-$O$2)*$C$18,Q2))</f>
        <v>109.71056962709886</v>
      </c>
      <c r="BC5" s="55">
        <f>IF(AK5&gt;0,(AB30*$J$2+AD38*$K$2)*EXP(-$M$2*$N$2)+$A$2*$D$2,MIN((1-$O$2)*$C$18,Q2))</f>
        <v>109.71056962709886</v>
      </c>
      <c r="BD5" s="55">
        <f>IF(AL5&gt;0,(AC30*$J$2+AE38*$K$2)*EXP(-$M$2*$N$2)+$A$2*$D$2,MIN((1-$O$2)*$C$18,Q2))</f>
        <v>109.71056962709886</v>
      </c>
      <c r="BE5" s="55">
        <f>IF(AM5&gt;0,(AD30*$J$2+AF38*$K$2)*EXP(-$M$2*$N$2)+$A$2*$D$2,MIN((1-$O$2)*$C$18,Q2))</f>
        <v>109.71056962709886</v>
      </c>
      <c r="BF5" s="55">
        <f>IF(AN5&gt;0,(AE30*$J$2+AG38*$K$2)*EXP(-$M$2*$N$2)+$A$2*$D$2,MIN((1-$O$2)*$C$18,Q2))</f>
        <v>109.71056962709886</v>
      </c>
      <c r="BG5" s="55">
        <f>IF(AO5&gt;0,(AF30*$J$2+AI38*$K$2)*EXP(-$M$2*$N$2)+$A$2*$D$2,MIN((1-$O$2)*$C$18,Q2))</f>
        <v>109.71056962709886</v>
      </c>
    </row>
    <row r="6" spans="1:59" x14ac:dyDescent="0.25">
      <c r="A6" s="3">
        <v>0.2</v>
      </c>
      <c r="B6">
        <v>0</v>
      </c>
      <c r="C6" s="27">
        <f t="shared" si="0"/>
        <v>9.6000000000000014</v>
      </c>
      <c r="D6" s="26">
        <f t="shared" si="1"/>
        <v>189.6</v>
      </c>
      <c r="AA6" s="10"/>
      <c r="AB6" s="10">
        <v>0.6</v>
      </c>
      <c r="AC6" s="9"/>
      <c r="AD6" s="9"/>
      <c r="AE6" s="9"/>
      <c r="AF6" s="9">
        <f>MIN(AF9,(N32*$J$2+O40*$K$2)*EXP(-$M$2*$N$2)+$B$2*(1-AF2)*$E$2)</f>
        <v>21.982633850466296</v>
      </c>
      <c r="AG6" s="9">
        <f>MIN(AG9,(N33*$J$2+O41*$K$2)*EXP(-$M$2*$N$2)+$B$2*(1-AG2)*$E$2)</f>
        <v>10.991316925233145</v>
      </c>
      <c r="AH6" s="9">
        <f>MIN(AH9,(N34*$J$2+O43*$K$2)*EXP(-$M$2*$N$2)+$B$2*(1-AH2)*$E$2)</f>
        <v>0</v>
      </c>
      <c r="AI6" s="10">
        <v>0.6</v>
      </c>
      <c r="AJ6" s="71"/>
      <c r="AK6" s="71"/>
      <c r="AL6" s="71"/>
      <c r="AM6" s="71"/>
      <c r="AN6" s="71"/>
      <c r="AO6" s="71"/>
      <c r="AP6" s="10">
        <v>0.6</v>
      </c>
      <c r="AQ6" s="9">
        <f>AM3/(1+$L$2*AP6)</f>
        <v>44.956584626165736</v>
      </c>
      <c r="AR6" s="9">
        <f>AM$4/(1+$L$2*AP6)</f>
        <v>31.945730782707169</v>
      </c>
      <c r="AS6" s="9">
        <f>AM$5/(1+$L$2*AP6)</f>
        <v>58.445730782707173</v>
      </c>
      <c r="AT6" s="10">
        <v>0.6</v>
      </c>
      <c r="AU6" s="50"/>
      <c r="AV6" s="50"/>
      <c r="AW6" s="50"/>
      <c r="AX6" s="139">
        <f>IF(AM3&gt;0,AF6+(AX2-$AT$6)*$L$2*AQ6,IF((1-$O$2)*$C$18-$Q$2&gt;0,(1-$O$2)*$C$18-$Q$2,0))</f>
        <v>21.982633850466296</v>
      </c>
      <c r="AY6" s="49">
        <f>IF(AN3&gt;0,AG6+(AY2-$AT$6)*$L$2*AQ7,IF((1-$O$2)*$C$18-$Q$2&gt;0,(1-$O$2)*$C$18-$Q$2,0))</f>
        <v>20.182633850466292</v>
      </c>
      <c r="AZ6" s="49">
        <f>IF(AO3&gt;0,AH6+(AZ2-$AT$6)*$L$2*AQ8,IF((1-$O$2)*$C$18-$Q$2&gt;0,(1-$O$2)*$C$18-$Q$2,0))</f>
        <v>18.702633850466292</v>
      </c>
    </row>
    <row r="7" spans="1:59" x14ac:dyDescent="0.25">
      <c r="A7" s="3">
        <v>0.4</v>
      </c>
      <c r="B7">
        <v>0</v>
      </c>
      <c r="C7" s="27">
        <f t="shared" si="0"/>
        <v>8.8000000000000007</v>
      </c>
      <c r="D7" s="26">
        <f t="shared" si="1"/>
        <v>168.8</v>
      </c>
      <c r="AA7" s="10"/>
      <c r="AB7" s="10">
        <v>0.8</v>
      </c>
      <c r="AC7" s="9"/>
      <c r="AD7" s="9"/>
      <c r="AE7" s="9"/>
      <c r="AF7" s="9"/>
      <c r="AG7" s="9">
        <f>MIN(AG9,(N33*$J$2+O41*$K$2)*EXP(-$M$2*$N$2)+$B$2*(1-AG2)*$E$2)</f>
        <v>10.991316925233145</v>
      </c>
      <c r="AH7" s="9">
        <f>MIN(AH9,(N34*$J$2+O43*$K$2)*EXP(-$M$2*$N$2)+$B$2*(1-AH2)*$E$2)</f>
        <v>0</v>
      </c>
      <c r="AI7" s="10">
        <v>0.8</v>
      </c>
      <c r="AJ7" s="71"/>
      <c r="AK7" s="71"/>
      <c r="AL7" s="71"/>
      <c r="AM7" s="71"/>
      <c r="AN7" s="71"/>
      <c r="AO7" s="71"/>
      <c r="AP7" s="10">
        <v>0.8</v>
      </c>
      <c r="AQ7" s="9">
        <f>AN3/(1+$L$2*AP7)</f>
        <v>45.956584626165721</v>
      </c>
      <c r="AR7" s="9">
        <f>AN$4/(1+$L$2*AP7)</f>
        <v>40.173982917961915</v>
      </c>
      <c r="AS7" s="9">
        <f>AN$5/(1+$L$2*AP7)</f>
        <v>51.951760695739694</v>
      </c>
      <c r="AT7" s="10">
        <v>0.8</v>
      </c>
      <c r="AU7" s="50"/>
      <c r="AV7" s="50"/>
      <c r="AW7" s="50"/>
      <c r="AX7" s="50"/>
      <c r="AY7" s="139">
        <f>IF(AN3&gt;0,AG7+(AY2-$AT$7)*$L$2*AQ7,IF((1-$O$2)*$C$18-$Q$2&gt;0,(1-$O$2)*$C$18-$Q$2,0))</f>
        <v>10.991316925233145</v>
      </c>
      <c r="AZ7" s="49">
        <f>IF(AO3&gt;0,AH7+(AZ2-$AT$7)*$L$2*AQ8,IF((1-$O$2)*$C$18-$Q$2&gt;0,(1-$O$2)*$C$18-$Q$2,0))</f>
        <v>9.3513169252331423</v>
      </c>
    </row>
    <row r="8" spans="1:59" x14ac:dyDescent="0.25">
      <c r="A8" s="3">
        <v>0.6</v>
      </c>
      <c r="B8">
        <v>0</v>
      </c>
      <c r="C8" s="27">
        <f t="shared" si="0"/>
        <v>8</v>
      </c>
      <c r="D8" s="26">
        <f t="shared" si="1"/>
        <v>148</v>
      </c>
      <c r="AA8" s="10"/>
      <c r="AB8" s="10">
        <v>1</v>
      </c>
      <c r="AC8" s="9"/>
      <c r="AD8" s="9"/>
      <c r="AE8" s="9"/>
      <c r="AF8" s="9"/>
      <c r="AG8" s="9"/>
      <c r="AH8" s="9">
        <f>MIN(AH9,(N34*$J$2+O43*$K$2)*EXP(-$M$2*$N$2)+$B$2*(1-AH2)*$E$2)</f>
        <v>0</v>
      </c>
      <c r="AI8" s="10">
        <v>1</v>
      </c>
      <c r="AJ8" s="71"/>
      <c r="AK8" s="71"/>
      <c r="AL8" s="71"/>
      <c r="AM8" s="71"/>
      <c r="AN8" s="71"/>
      <c r="AO8" s="71"/>
      <c r="AP8" s="10">
        <v>1</v>
      </c>
      <c r="AQ8" s="9">
        <f>AO3/(1+$L$2*AP8)</f>
        <v>46.756584626165726</v>
      </c>
      <c r="AR8" s="9">
        <f>AO$4/(1+$L$2*AP8)</f>
        <v>46.756584626165726</v>
      </c>
      <c r="AS8" s="9">
        <f>AO$5/(1+$L$2*AP8)</f>
        <v>46.756584626165726</v>
      </c>
      <c r="AT8" s="10">
        <v>1</v>
      </c>
      <c r="AU8" s="50"/>
      <c r="AV8" s="50"/>
      <c r="AW8" s="50"/>
      <c r="AX8" s="50"/>
      <c r="AY8" s="50"/>
      <c r="AZ8" s="139">
        <f>IF(AO3&gt;0,AH8+(AZ2-$AT$8)*$L$2*AQ8,IF((1-$O$2)*$C$18-$Q$2&gt;0,(1-$O$2)*$C$18-$Q$2,0))</f>
        <v>0</v>
      </c>
    </row>
    <row r="9" spans="1:59" x14ac:dyDescent="0.25">
      <c r="A9" s="3">
        <v>0.8</v>
      </c>
      <c r="B9">
        <v>0</v>
      </c>
      <c r="C9" s="27">
        <f t="shared" si="0"/>
        <v>7.2</v>
      </c>
      <c r="D9" s="26">
        <f t="shared" si="1"/>
        <v>127.2</v>
      </c>
      <c r="G9" t="s">
        <v>102</v>
      </c>
      <c r="I9" s="33"/>
      <c r="J9" s="33"/>
      <c r="K9" s="33"/>
      <c r="L9" s="33"/>
      <c r="M9" s="33"/>
      <c r="N9" s="33"/>
      <c r="AB9" t="s">
        <v>103</v>
      </c>
      <c r="AC9" s="20">
        <f t="shared" ref="AC9:AH9" si="2">$R$2*(1-AC$2)</f>
        <v>106</v>
      </c>
      <c r="AD9" s="20">
        <f t="shared" si="2"/>
        <v>84.800000000000011</v>
      </c>
      <c r="AE9" s="20">
        <f t="shared" si="2"/>
        <v>63.599999999999994</v>
      </c>
      <c r="AF9" s="20">
        <f t="shared" si="2"/>
        <v>42.400000000000006</v>
      </c>
      <c r="AG9" s="20">
        <f t="shared" si="2"/>
        <v>21.199999999999996</v>
      </c>
      <c r="AH9" s="20">
        <f t="shared" si="2"/>
        <v>0</v>
      </c>
      <c r="AU9" s="20"/>
      <c r="AV9" s="20"/>
      <c r="AW9" s="20"/>
      <c r="AX9" s="20"/>
      <c r="AY9" s="20"/>
      <c r="AZ9" s="20"/>
    </row>
    <row r="10" spans="1:59" x14ac:dyDescent="0.25">
      <c r="A10" s="3">
        <v>1</v>
      </c>
      <c r="B10">
        <v>0</v>
      </c>
      <c r="C10" s="27">
        <f t="shared" si="0"/>
        <v>6.4</v>
      </c>
      <c r="D10" s="26">
        <f t="shared" si="1"/>
        <v>106.4</v>
      </c>
      <c r="E10" t="s">
        <v>104</v>
      </c>
      <c r="G10" s="6"/>
      <c r="H10" s="8" t="s">
        <v>87</v>
      </c>
      <c r="I10" s="8">
        <v>0</v>
      </c>
      <c r="J10" s="8">
        <v>0.2</v>
      </c>
      <c r="K10" s="8">
        <v>0.4</v>
      </c>
      <c r="L10" s="8">
        <v>0.6</v>
      </c>
      <c r="M10" s="8">
        <v>0.8</v>
      </c>
      <c r="N10" s="8">
        <v>1</v>
      </c>
      <c r="O10" s="8" t="s">
        <v>88</v>
      </c>
      <c r="P10" s="8">
        <v>0</v>
      </c>
      <c r="Q10" s="8">
        <v>0.2</v>
      </c>
      <c r="R10" s="8">
        <v>0.4</v>
      </c>
      <c r="S10" s="8">
        <v>0.6</v>
      </c>
      <c r="T10" s="8">
        <v>0.8</v>
      </c>
      <c r="U10" s="8">
        <v>1</v>
      </c>
      <c r="V10" s="6" t="s">
        <v>89</v>
      </c>
      <c r="W10" s="14" t="s">
        <v>90</v>
      </c>
      <c r="X10" s="13" t="s">
        <v>91</v>
      </c>
      <c r="Y10" s="13" t="s">
        <v>92</v>
      </c>
      <c r="Z10" s="6" t="s">
        <v>85</v>
      </c>
      <c r="AA10" s="8">
        <v>0</v>
      </c>
      <c r="AB10" s="8">
        <v>0.2</v>
      </c>
      <c r="AC10" s="8">
        <v>0.4</v>
      </c>
      <c r="AD10" s="8">
        <v>0.6</v>
      </c>
      <c r="AE10" s="8">
        <v>0.8</v>
      </c>
      <c r="AF10" s="8">
        <v>1</v>
      </c>
      <c r="AG10" s="52" t="s">
        <v>93</v>
      </c>
      <c r="AH10" s="44">
        <v>0</v>
      </c>
      <c r="AI10" s="44">
        <v>0.2</v>
      </c>
      <c r="AJ10" s="44">
        <v>0.4</v>
      </c>
      <c r="AK10" s="44">
        <v>0.6</v>
      </c>
      <c r="AL10" s="44">
        <v>0.8</v>
      </c>
      <c r="AM10" s="44">
        <v>1</v>
      </c>
    </row>
    <row r="11" spans="1:59" x14ac:dyDescent="0.25">
      <c r="A11" s="3">
        <v>0.80840000000000001</v>
      </c>
      <c r="C11" s="27">
        <f t="shared" si="0"/>
        <v>7.1664000000000003</v>
      </c>
      <c r="D11" s="26">
        <f t="shared" si="1"/>
        <v>126.32640000000001</v>
      </c>
      <c r="H11" s="8">
        <v>0</v>
      </c>
      <c r="I11" s="6">
        <f>MIN(($J$2*N20+$K$2*L29)*EXP(-$M$2*$N$2)+$B$2*(1-I10)*$E$2,$I$17)</f>
        <v>106</v>
      </c>
      <c r="J11" s="6">
        <f>MIN(($J$2*N21+$K$2*M30)*EXP(-$M$2*$N$2)+$B$2*(1-J10)*$E$2,$J$17)</f>
        <v>84.800000000000011</v>
      </c>
      <c r="K11" s="6">
        <f>MIN(($J$2*N22+$K$2*N31)*EXP(-$M$2*$N$2)+$B$2*(1-K10)*$E$2,$K$17)</f>
        <v>63.599999999999994</v>
      </c>
      <c r="L11" s="6">
        <f>MIN(($J$2*N23+$K$2*N32)*EXP(-$M$2*$N$2)+$B$2*(1-L10)*$E$2,L17)</f>
        <v>42.400000000000006</v>
      </c>
      <c r="M11" s="6">
        <f>MIN(($J$2*N24+$K$2*N33)*EXP(-$M$2*$N$2)+$B$2*(1-M10)*$E$2,M17)</f>
        <v>21.199999999999996</v>
      </c>
      <c r="N11" s="6">
        <f>MIN(($J$2*N25+$K$2*N34)*EXP(-$M$2*$N$2)+$B$2*(1-N10)*$E$2,N17)</f>
        <v>0</v>
      </c>
      <c r="O11" s="12" t="s">
        <v>90</v>
      </c>
      <c r="P11" s="34">
        <f>MAX(($W$25*(1+L2*P10)*$J$2+$W$32*(1+L2*P10)*$K$2)*EXP(-$M$2*$N$2)-$A$2*$D$2*(1-$C$2)-$B$2*$E$2*(1-P10)*(1-$C$2),0)</f>
        <v>190.74161649897624</v>
      </c>
      <c r="Q11" s="34">
        <f>MAX(($W$25*(1+L2*Q10)*$J$2+$W$33*(1+L2*Q10)*$K$2)*EXP(-$M$2*$N$2)-$A$2*$D$2*(1-$C$2)-$B$2*$E$2*(1-Q10)*(1-$C$2),0)</f>
        <v>231.6580977560829</v>
      </c>
      <c r="R11" s="34">
        <f>MAX((W25*(1+L2*R10)*$J$2+W34*(1+L2*R10)*$K$2)*EXP(-$M$2*$N$2)-$A$2*$D$2*(1-$C$2)-$B$2*$E$2*(1-R10)*(1-$C$2),0)</f>
        <v>272.56339480892069</v>
      </c>
      <c r="S11" s="34">
        <f>MAX((W25*(1+L2*S10)*$J$2+W34*(1+L2*S10)*$K$2)*EXP(-$M$2*$N$2)-$A$2*$D$2*(1-$C$2)-$B$2*$E$2*(1-S10)*(1-$C$2),0)</f>
        <v>313.55816549590935</v>
      </c>
      <c r="T11" s="34">
        <f>MAX((W25*(1+L2*T10)*$J$2+W34*(1+L2*T10)*$K$2)*EXP(-$M$2*$N$2)-$A$2*$D$2*(1-$C$2)-$B$2*$E$2*(1-T10)*(1-$C$2),0)</f>
        <v>354.55293618289801</v>
      </c>
      <c r="U11" s="34">
        <f>MAX((W25*(1+L2*U10)*$J$2+W34*(1+L2*U10)*$K$2)*EXP(-$M$2*$N$2)-$A$2*$D$2*(1-$C$2)-$B$2*$E$2*(1-U10)*(1-$C$2),0)</f>
        <v>395.54770686988667</v>
      </c>
      <c r="V11" s="8">
        <v>0</v>
      </c>
      <c r="W11" s="6">
        <f>P11/(1+V11*$L$2)</f>
        <v>190.74161649897624</v>
      </c>
      <c r="X11" s="6">
        <f>P12/(1+V11*$L$2)</f>
        <v>289.54770686988667</v>
      </c>
      <c r="Y11" s="6">
        <f>P13/(1+V11*$L$2)</f>
        <v>395.54770686988667</v>
      </c>
      <c r="Z11" s="8">
        <v>0</v>
      </c>
      <c r="AA11" s="47">
        <f>IF(P12&gt;0,I11+(AA10-$Z$11)*$L$2*X11,IF((1-$O$2)*$C$14-$Q$2&gt;0,(1-$O$2)*$C$14-$Q$2,0))</f>
        <v>106</v>
      </c>
      <c r="AB11" s="41">
        <f>IF(Q12&gt;0,J11+(AB10-$Z$11)*$L$2*X12,IF((1-$O$2)*$C$14-$Q$2&gt;0,(1-$O$2)*$C$14-$Q$2,0))</f>
        <v>136.59128447831446</v>
      </c>
      <c r="AC11" s="41">
        <f>IF(R12&gt;0,K11+(AC10-$Z$11)*$L$2*X13,IF((1-$O$2)*$C$14-$Q$2&gt;0,(1-$O$2)*$C$14-$Q$2,0))</f>
        <v>158.44220196282478</v>
      </c>
      <c r="AD11" s="41">
        <f>IF(S12&gt;0,L11+(AD10-$Z$11)*$L$2*X14,IF((1-$O$2)*$C$14-$Q$2&gt;0,(1-$O$2)*$C$14-$Q$2,0))</f>
        <v>174.83039007620749</v>
      </c>
      <c r="AE11" s="41">
        <f>IF(T12&gt;0,M11+(AE10-$Z$11)*$L$2*X15,IF((1-$O$2)*$C$14-$Q$2&gt;0,(1-$O$2)*$C$14-$Q$2,0))</f>
        <v>187.5767586088385</v>
      </c>
      <c r="AF11" s="141">
        <f>IF(U12&gt;0,N11+(AF10-$Z$11)*$L$2*X16,IF((1-$O$2)*$C$14-$Q$2&gt;0,(1-$O$2)*$C$14-$Q$2,0))</f>
        <v>197.77385343494333</v>
      </c>
      <c r="AG11" s="52" t="s">
        <v>95</v>
      </c>
      <c r="AH11" s="151" t="s">
        <v>100</v>
      </c>
      <c r="AI11" s="151"/>
      <c r="AJ11" s="151"/>
      <c r="AK11" s="151"/>
      <c r="AL11" s="151"/>
      <c r="AM11" s="151"/>
    </row>
    <row r="12" spans="1:59" x14ac:dyDescent="0.25">
      <c r="E12" s="4">
        <f>C14*H2</f>
        <v>795.44505360980634</v>
      </c>
      <c r="G12" s="8"/>
      <c r="H12" s="8">
        <v>0.2</v>
      </c>
      <c r="I12" s="6"/>
      <c r="J12" s="6">
        <f>MIN(($J$2*N21+$K$2*M30)*EXP(-$M$2*$N$2)+$B$2*(1-J10)*$E$2,$J$17)</f>
        <v>84.800000000000011</v>
      </c>
      <c r="K12" s="6">
        <f>MIN(($J$2*N22+$K$2*N31)*EXP(-$M$2*$N$2)+$B$2*(1-K10)*$E$2,$K$17)</f>
        <v>63.599999999999994</v>
      </c>
      <c r="L12" s="6">
        <f>MIN(($J$2*N23+$K$2*N32)*EXP(-$M$2*$N$2)+$B$2*(1-L10)*$E$2,L17)</f>
        <v>42.400000000000006</v>
      </c>
      <c r="M12" s="6">
        <f>MIN(($J$2*N24+$K$2*N33)*EXP(-$M$2*$N$2)+$B$2*(1-M10)*$E$2,M17)</f>
        <v>21.199999999999996</v>
      </c>
      <c r="N12" s="6">
        <f>MIN(($J$2*N25+$K$2*N34)*EXP(-$M$2*$N$2)+$B$2*(1-N10)*$E$2,N17)</f>
        <v>0</v>
      </c>
      <c r="O12" s="12" t="s">
        <v>91</v>
      </c>
      <c r="P12" s="72">
        <f>MAX(($Y20*(1+L2*P10)*$J$2+$Y29*(1+L2*P10)*$K$2)*EXP(-$M$2*$N$2)-$A$2*$D$2*(1-$C$2)-R2*(1-P10),0)</f>
        <v>289.54770686988667</v>
      </c>
      <c r="Q12" s="40">
        <f>MAX(($Y21*(1+L2*Q10)*$J$2+$Y30*(1+L2*Q10)*$K$2)*EXP(-$M$2*$N$2)-$A$2*$D$2*(1-$C$2)-(1-Q10)*R2,0)</f>
        <v>310.74770686988666</v>
      </c>
      <c r="R12" s="34">
        <f>MAX(($Y22*(1+L2*R10)*$J$2+$Y31*(1+L2*R10)*$K$2)*EXP(-$M$2*$N$2)-$A$2*$D$2*(1-$C$2)-R2*(1-R10),0)</f>
        <v>331.9477068698867</v>
      </c>
      <c r="S12" s="40">
        <f>MAX(($Y23*(1+L2*S10)*$J$2+$Y32*(1+L2*S10)*$K$2)*EXP(-$M$2*$N$2)-$A$2*$D$2*(1-$C$2)-(1-S10)*R2,0)</f>
        <v>353.14770686988663</v>
      </c>
      <c r="T12" s="40">
        <f>MAX(($Y24*(1+L2*T10)*$J$2+$Y33*(1+L2*T10)*$K$2)*EXP(-$M$2*$N$2)-$A$2*$D$2*(1-$C$2)-(1-T10)*R2,0)</f>
        <v>374.34770686988668</v>
      </c>
      <c r="U12" s="40">
        <f>MAX(($Y25*(1+L2*U10)*$J$2+$Y34*(1+L2*U10)*$K$2)*EXP(-$M$2*$N$2)-$A$2*$D$2*(1-$C$2)-(1-U10)*R2,0)</f>
        <v>395.54770686988667</v>
      </c>
      <c r="V12" s="8">
        <v>0.2</v>
      </c>
      <c r="W12" s="6">
        <f>Q11/(1+V12*$L$2)</f>
        <v>193.04841479673576</v>
      </c>
      <c r="X12" s="6">
        <f>Q12/(1+V12*$L$2)</f>
        <v>258.95642239157223</v>
      </c>
      <c r="Y12" s="6">
        <f>Q13/(1+V12*$L$2)</f>
        <v>329.62308905823892</v>
      </c>
      <c r="Z12" s="8">
        <v>0.2</v>
      </c>
      <c r="AA12" s="66"/>
      <c r="AB12" s="47">
        <f>IF(Q12&gt;0,J12+(AB10-$Z$12)*$L$2*X12,IF((1-$O$2)*$C$14-$Q$2&gt;0,(1-$O$2)*$C$14-$Q$2,0))</f>
        <v>84.800000000000011</v>
      </c>
      <c r="AC12" s="47">
        <f>IF(R12&gt;0,K12+(AC10-$Z$12)*$L$2*X13,IF((1-$O$2)*$C$14-$Q$2&gt;0,(1-$O$2)*$C$14-$Q$2,0))</f>
        <v>111.02110098141239</v>
      </c>
      <c r="AD12" s="47">
        <f>IF(S12&gt;0,L12+(AD10-$Z$12)*$L$2*X14,IF((1-$O$2)*$C$14-$Q$2&gt;0,(1-$O$2)*$C$14-$Q$2,0))</f>
        <v>130.68692671747164</v>
      </c>
      <c r="AE12" s="47">
        <f>IF(T12&gt;0,M12+(AE10-$Z$12)*$L$2*X15,IF((1-$O$2)*$C$14-$Q$2&gt;0,(1-$O$2)*$C$14-$Q$2,0))</f>
        <v>145.98256895662888</v>
      </c>
      <c r="AF12" s="141">
        <f>IF(U12&gt;0,N12+(AF10-$Z$12)*$L$2*X16,IF((1-$O$2)*$C$14-$Q$2&gt;0,(1-$O$2)*$C$14-$Q$2,0))</f>
        <v>158.21908274795467</v>
      </c>
      <c r="AG12" s="52" t="s">
        <v>99</v>
      </c>
      <c r="AH12" s="142">
        <f>IF(P12&gt;0,(AA22*$J$2+AA30*$K$2)*EXP(-$M$2*$N$2)+$A$2*$D$2,MIN($Q$2,(1-$O$2)*$C$14))</f>
        <v>109.71056962709886</v>
      </c>
      <c r="AI12" s="142">
        <f>IF(Q12&gt;0,(AB22*$J$2+AB30*$K$2)*EXP(-$M$2*$N$2)+$A$2*$D$2,MIN($Q$2,(1-$O$2)*$C$14))</f>
        <v>109.71056962709886</v>
      </c>
      <c r="AJ12" s="142">
        <f>IF(R12&gt;0,(AC22*$J$2+AC30*$K$2)*EXP(-$M$2*$N$2)+$A$2*$D$2,MIN($Q$2,(1-$O$2)*$C$14))</f>
        <v>109.71056962709886</v>
      </c>
      <c r="AK12" s="142">
        <f>IF(S12&gt;0,(AD22*$J$2+AD30*$K$2)*EXP(-$M$2*$N$2)+$A$2*$D$2,MIN($Q$2,(1-$O$2)*$C$14))</f>
        <v>109.71056962709886</v>
      </c>
      <c r="AL12" s="142">
        <f>IF(T12&gt;0,(AE22*$J$2+AE30*$K$2)*EXP(-$M$2*$N$2)+$A$2*$D$2,MIN($Q$2,(1-$O$2)*$C$14))</f>
        <v>109.71056962709886</v>
      </c>
      <c r="AM12" s="142">
        <f t="shared" ref="AM12" si="3">IF(U12&gt;0,(AF22*$J$2+AF30*$K$2)*EXP(-$M$2*$N$2)+$A$2*$D$2,MIN($Q$2,(1-$O$2)*$C$14))</f>
        <v>109.71056962709886</v>
      </c>
    </row>
    <row r="13" spans="1:59" x14ac:dyDescent="0.25">
      <c r="D13" s="1"/>
      <c r="G13" s="8"/>
      <c r="H13" s="8">
        <v>0.4</v>
      </c>
      <c r="I13" s="6"/>
      <c r="J13" s="6"/>
      <c r="K13" s="6">
        <f>MIN(($J$2*N22+$K$2*N31)*EXP(-$M$2*$N$2)+$B$2*(1-K10)*$E$2,$K$17)</f>
        <v>63.599999999999994</v>
      </c>
      <c r="L13" s="6">
        <f>MIN(($J$2*N23+$K$2*N32)*EXP(-$M$2*$N$2)+$B$2*(1-L10)*$E$2,L17)</f>
        <v>42.400000000000006</v>
      </c>
      <c r="M13" s="6">
        <f>MIN(($J$2*N24+$K$2*N33)*EXP(-$M$2*$N$2)+$B$2*(1-M10)*$E$2,M17)</f>
        <v>21.199999999999996</v>
      </c>
      <c r="N13" s="6">
        <f>MIN(($J$2*N25+$K$2*N34)*EXP(-$M$2*$N$2)+$B$2*(1-N10)*$E$2,N17)</f>
        <v>0</v>
      </c>
      <c r="O13" s="12" t="s">
        <v>35</v>
      </c>
      <c r="P13" s="72">
        <f>MAX(($Y20*(1+L2*P10)*$J$2+$Y29*(1+L2*P10)*$K$2)*EXP(-$M$2*$N$2)-$A$2*$D$2*(1-$C$2),0)</f>
        <v>395.54770686988667</v>
      </c>
      <c r="Q13" s="72">
        <f>MAX(($Y21*(1+L2*Q10)*$J$2+$Y30*(1+L2*Q10)*$K$2)*EXP(-$M$2*$N$2)-$A$2*$D$2*(1-$C$2),0)</f>
        <v>395.54770686988667</v>
      </c>
      <c r="R13" s="72">
        <f>MAX(($Y22*(1+L2*R10)*$J$2+$Y31*(1+L2*R10)*$K$2)*EXP(-$M$2*$N$2)-$A$2*$D$2*(1-$C$2),0)</f>
        <v>395.54770686988667</v>
      </c>
      <c r="S13" s="72">
        <f>MAX(($Y23*(1+L2*S10)*$J$2+$Y32*(1+L2*S10)*$K$2)*EXP(-$M$2*$N$2)-$A$2*$D$2*(1-$C$2),0)</f>
        <v>395.54770686988667</v>
      </c>
      <c r="T13" s="72">
        <f>MAX(($Y24*(1+L2*T10)*$J$2+$Y33*(1+L2*T10)*$K$2)*EXP(-$M$2*$N$2)-$A$2*$D$2*(1-$C$2),0)</f>
        <v>395.54770686988667</v>
      </c>
      <c r="U13" s="72">
        <f>MAX(($Y25*(1+L2*U10)*$J$2+$Y34*(1+L2*U10)*$K$2)*EXP(-$M$2*$N$2)-$A$2*$D$2*(1-$C$2),0)</f>
        <v>395.54770686988667</v>
      </c>
      <c r="V13" s="8">
        <v>0.4</v>
      </c>
      <c r="W13" s="6">
        <f>R11/(1+V13*$L$2)</f>
        <v>194.68813914922907</v>
      </c>
      <c r="X13" s="6">
        <f>R12/(1+V13*$L$2)</f>
        <v>237.10550490706194</v>
      </c>
      <c r="Y13" s="6">
        <f>R13/(1+V13*$L$2)</f>
        <v>282.53407633563336</v>
      </c>
      <c r="Z13" s="8">
        <v>0.4</v>
      </c>
      <c r="AA13" s="66"/>
      <c r="AB13" s="48"/>
      <c r="AC13" s="47">
        <f>IF(R12&gt;0,K13+(AC10-$Z$13)*$L$2*X13,IF((1-$O$2)*$C$14-$Q$2&gt;0,(1-$O$2)*$C$14-$Q$2,0))</f>
        <v>63.599999999999994</v>
      </c>
      <c r="AD13" s="47">
        <f>IF(S12&gt;0,L13+(AD10-$Z$13)*$L$2*X14,IF((1-$O$2)*$C$14-$Q$2&gt;0,(1-$O$2)*$C$14-$Q$2,0))</f>
        <v>86.543463358735835</v>
      </c>
      <c r="AE13" s="47">
        <f>IF(T12&gt;0,M13+(AE10-$Z$13)*$L$2*X15,IF((1-$O$2)*$C$14-$Q$2&gt;0,(1-$O$2)*$C$14-$Q$2,0))</f>
        <v>104.38837930441926</v>
      </c>
      <c r="AF13" s="141">
        <f>IF(U12&gt;0,N13+(AF10-$Z$13)*$L$2*X16,IF((1-$O$2)*$C$14-$Q$2&gt;0,(1-$O$2)*$C$14-$Q$2,0))</f>
        <v>118.664312060966</v>
      </c>
      <c r="AG13" s="52" t="s">
        <v>42</v>
      </c>
      <c r="AH13" s="142">
        <f>IF(P13&gt;0,(AA22*$J$2+AA30*$K$2)*EXP(-$M$2*$N$2)+$A$2*$D$2,MIN((1-$O$2)*$C$14,Q2))</f>
        <v>109.71056962709886</v>
      </c>
      <c r="AI13" s="142">
        <f>IF(Q13&gt;0,(AB22*$J$2+AB30*$K$2)*EXP(-$M$2*$N$2)+$A$2*$D$2,MIN((1-$O$2)*$C$14,Q2))</f>
        <v>109.71056962709886</v>
      </c>
      <c r="AJ13" s="142">
        <f>IF(R13&gt;0,(AC22*$J$2+AC30*$K$2)*EXP(-$M$2*$N$2)+$A$2*$D$2,MIN((1-$O$2)*$C$14,Q2))</f>
        <v>109.71056962709886</v>
      </c>
      <c r="AK13" s="142">
        <f>IF(S13&gt;0,(AD22*$J$2+AD30*$K$2)*EXP(-$M$2*$N$2)+$A$2*$D$2,MIN((1-$O$2)*$C$14,Q2))</f>
        <v>109.71056962709886</v>
      </c>
      <c r="AL13" s="142">
        <f>IF(T13&gt;0,(AE22*$J$2+AE30*$K$2)*EXP(-$M$2*$N$2)+$A$2*$D$2,MIN((1-$O$2)*$C$14,Q2))</f>
        <v>109.71056962709886</v>
      </c>
      <c r="AM13" s="142">
        <f>IF(U13&gt;0,(AF22*$J$2+AF30*$K$2)*EXP(-$M$2*$N$2)+$A$2*$D$2,MIN((1-$O$2)*$C$14,Q2))</f>
        <v>109.71056962709886</v>
      </c>
    </row>
    <row r="14" spans="1:59" x14ac:dyDescent="0.25">
      <c r="C14" s="6">
        <f>A16*H2</f>
        <v>502.15145324325073</v>
      </c>
      <c r="G14" s="8"/>
      <c r="H14" s="8">
        <v>0.6</v>
      </c>
      <c r="I14" s="6"/>
      <c r="J14" s="6"/>
      <c r="K14" s="6"/>
      <c r="L14" s="6">
        <f>MIN(($J$2*N23+$K$2*N32)*EXP(-$M$2*$N$2)+$B$2*(1-L10)*$E$2,L17)</f>
        <v>42.400000000000006</v>
      </c>
      <c r="M14" s="6">
        <f>MIN(($J$2*N24+$K$2*N33)*EXP(-$M$2*$N$2)+$B$2*(1-M10)*$E$2,M17)</f>
        <v>21.199999999999996</v>
      </c>
      <c r="N14" s="6">
        <f>MIN(($J$2*N25+$K$2*N34)*EXP(-$M$2*$N$2)+$B$2*(1-N10)*$E$2,N17)</f>
        <v>0</v>
      </c>
      <c r="O14" s="8">
        <v>0.6</v>
      </c>
      <c r="P14" s="72"/>
      <c r="Q14" s="72"/>
      <c r="R14" s="72"/>
      <c r="S14" s="72"/>
      <c r="T14" s="72"/>
      <c r="U14" s="72"/>
      <c r="V14" s="8">
        <v>0.6</v>
      </c>
      <c r="W14" s="6">
        <f>S11/(1+V14*$L$2)</f>
        <v>195.97385343494332</v>
      </c>
      <c r="X14" s="6">
        <f>S12/(1+V14*$L$2)</f>
        <v>220.71731679367915</v>
      </c>
      <c r="Y14" s="6">
        <f>S13/(1+V14*$L$2)</f>
        <v>247.21731679367915</v>
      </c>
      <c r="Z14" s="8">
        <v>0.6</v>
      </c>
      <c r="AA14" s="66"/>
      <c r="AB14" s="48"/>
      <c r="AC14" s="48"/>
      <c r="AD14" s="47">
        <f>IF(S12&gt;0,L14+(AD10-$Z$14)*$L$2*X14,IF((1-$O$2)*$C$14-$Q$2&gt;0,(1-$O$2)*$C$14-$Q$2,0))</f>
        <v>42.400000000000006</v>
      </c>
      <c r="AE14" s="47">
        <f>IF(T12&gt;0,M14+(AE10-$Z$14)*$L$2*X15,IF((1-$O$2)*$C$14-$Q$2&gt;0,(1-$O$2)*$C$14-$Q$2,0))</f>
        <v>62.794189652209639</v>
      </c>
      <c r="AF14" s="141">
        <f>IF(U12&gt;0,N14+(AF10-$Z$14)*$L$2*X16,IF((1-$O$2)*$C$14-$Q$2&gt;0,(1-$O$2)*$C$14-$Q$2,0))</f>
        <v>79.109541373977336</v>
      </c>
    </row>
    <row r="15" spans="1:59" x14ac:dyDescent="0.25">
      <c r="B15" s="1"/>
      <c r="D15" s="2"/>
      <c r="G15" s="8"/>
      <c r="H15" s="8">
        <v>0.8</v>
      </c>
      <c r="I15" s="6"/>
      <c r="J15" s="6"/>
      <c r="K15" s="6"/>
      <c r="L15" s="6"/>
      <c r="M15" s="6">
        <f>MIN(($J$2*N24+$K$2*N33)*EXP(-$M$2*$N$2)+$B$2*(1-M10)*$E$2,M17)</f>
        <v>21.199999999999996</v>
      </c>
      <c r="N15" s="6">
        <f>MIN(($J$2*N25+$K$2*N34)*EXP(-$M$2*$N$2)+$B$2*(1-N10)*$E$2,N17)</f>
        <v>0</v>
      </c>
      <c r="O15" s="8">
        <v>0.8</v>
      </c>
      <c r="P15" s="72"/>
      <c r="Q15" s="72"/>
      <c r="R15" s="72"/>
      <c r="S15" s="72"/>
      <c r="T15" s="72"/>
      <c r="U15" s="72"/>
      <c r="V15" s="8">
        <v>0.8</v>
      </c>
      <c r="W15" s="6">
        <f>T11/(1+V15*$L$2)</f>
        <v>196.97385343494332</v>
      </c>
      <c r="X15" s="6">
        <f>T12/(1+V15*$L$2)</f>
        <v>207.97094826104814</v>
      </c>
      <c r="Y15" s="6">
        <f>T13/(1+V15*$L$2)</f>
        <v>219.74872603882591</v>
      </c>
      <c r="Z15" s="8">
        <v>0.8</v>
      </c>
      <c r="AA15" s="66"/>
      <c r="AB15" s="48"/>
      <c r="AC15" s="48"/>
      <c r="AD15" s="48"/>
      <c r="AE15" s="47">
        <f>IF(T12&gt;0,M15+(AE10-$Z$15)*$L$2*X15,IF((1-$O$2)*$C$14-$Q$2&gt;0,(1-$O$2)*$C$14-$Q$2,0))</f>
        <v>21.199999999999996</v>
      </c>
      <c r="AF15" s="141">
        <f>IF(U12&gt;0,N15+(AF10-$Z$15)*$L$2*X16,IF((1-$O$2)*$C$14-$Q$2&gt;0,(1-$O$2)*$C$14-$Q$2,0))</f>
        <v>39.554770686988661</v>
      </c>
    </row>
    <row r="16" spans="1:59" x14ac:dyDescent="0.25">
      <c r="A16" s="16">
        <v>317</v>
      </c>
      <c r="E16" s="13">
        <f>C14*I2</f>
        <v>317</v>
      </c>
      <c r="G16" s="8"/>
      <c r="H16" s="8">
        <v>1</v>
      </c>
      <c r="I16" s="6"/>
      <c r="J16" s="6"/>
      <c r="K16" s="6"/>
      <c r="L16" s="6"/>
      <c r="M16" s="6"/>
      <c r="N16" s="6">
        <f>MIN(($J$2*N25+$K$2*N34)*EXP(-$M$2*$N$2)+$B$2*(1-N10)*$E$2,N17)</f>
        <v>0</v>
      </c>
      <c r="O16" s="8">
        <v>1</v>
      </c>
      <c r="P16" s="72"/>
      <c r="Q16" s="72"/>
      <c r="R16" s="72"/>
      <c r="S16" s="72"/>
      <c r="T16" s="72"/>
      <c r="U16" s="72"/>
      <c r="V16" s="8">
        <v>1</v>
      </c>
      <c r="W16" s="6">
        <f>U11/(1+V16*$L$2)</f>
        <v>197.77385343494333</v>
      </c>
      <c r="X16" s="6">
        <f>U12/(1+V16*$L$2)</f>
        <v>197.77385343494333</v>
      </c>
      <c r="Y16" s="6">
        <f>U13/(1+V16*$L$2)</f>
        <v>197.77385343494333</v>
      </c>
      <c r="Z16" s="8">
        <v>1</v>
      </c>
      <c r="AA16" s="66"/>
      <c r="AB16" s="66"/>
      <c r="AC16" s="66"/>
      <c r="AD16" s="66"/>
      <c r="AE16" s="66"/>
      <c r="AF16" s="141">
        <f>IF(U12&gt;0,N16+(AF10-$Z$16)*$L$2*X16,IF((1-$O$2)*$C$14-$Q$2&gt;0,(1-$O$2)*$C$14-$Q$2,0))</f>
        <v>0</v>
      </c>
    </row>
    <row r="17" spans="1:54" x14ac:dyDescent="0.25">
      <c r="A17" s="3"/>
      <c r="B17" s="2"/>
      <c r="D17" s="1"/>
      <c r="H17" t="s">
        <v>37</v>
      </c>
      <c r="I17" s="143">
        <f t="shared" ref="I17:N17" si="4">$R$2*(1-I$10)</f>
        <v>106</v>
      </c>
      <c r="J17" s="143">
        <f t="shared" si="4"/>
        <v>84.800000000000011</v>
      </c>
      <c r="K17" s="143">
        <f t="shared" si="4"/>
        <v>63.599999999999994</v>
      </c>
      <c r="L17" s="143">
        <f t="shared" si="4"/>
        <v>42.400000000000006</v>
      </c>
      <c r="M17" s="143">
        <f t="shared" si="4"/>
        <v>21.199999999999996</v>
      </c>
      <c r="N17" s="143">
        <f t="shared" si="4"/>
        <v>0</v>
      </c>
      <c r="AW17" s="20"/>
      <c r="AX17" s="20"/>
      <c r="AY17" s="20"/>
      <c r="AZ17" s="20"/>
      <c r="BA17" s="20"/>
      <c r="BB17" s="20"/>
    </row>
    <row r="18" spans="1:54" x14ac:dyDescent="0.25">
      <c r="C18" s="7">
        <f>A16*I2</f>
        <v>200.11691562569553</v>
      </c>
      <c r="G18" t="s">
        <v>12</v>
      </c>
      <c r="H18" s="4"/>
      <c r="I18" s="31"/>
      <c r="J18" s="31"/>
      <c r="K18" s="31"/>
      <c r="L18" s="31"/>
      <c r="M18" s="31"/>
      <c r="N18" s="31"/>
      <c r="AW18" s="20"/>
      <c r="AX18" s="20"/>
      <c r="AY18" s="20"/>
      <c r="AZ18" s="20"/>
      <c r="BA18" s="20"/>
      <c r="BB18" s="20"/>
    </row>
    <row r="19" spans="1:54" x14ac:dyDescent="0.25">
      <c r="D19" s="2"/>
      <c r="H19" s="4" t="s">
        <v>19</v>
      </c>
      <c r="I19" s="12">
        <v>0</v>
      </c>
      <c r="J19" s="12">
        <v>0.2</v>
      </c>
      <c r="K19" s="12">
        <v>0.4</v>
      </c>
      <c r="L19" s="12">
        <v>0.6</v>
      </c>
      <c r="M19" s="12">
        <v>0.8</v>
      </c>
      <c r="N19" s="12">
        <v>1</v>
      </c>
      <c r="O19" s="12" t="s">
        <v>14</v>
      </c>
      <c r="P19" s="12">
        <v>0</v>
      </c>
      <c r="Q19" s="12">
        <v>0.2</v>
      </c>
      <c r="R19" s="12">
        <v>0.4</v>
      </c>
      <c r="S19" s="12">
        <v>0.6</v>
      </c>
      <c r="T19" s="12">
        <v>0.8</v>
      </c>
      <c r="U19" s="12">
        <v>1</v>
      </c>
      <c r="V19" s="4" t="s">
        <v>15</v>
      </c>
      <c r="W19" s="14" t="s">
        <v>33</v>
      </c>
      <c r="X19" s="13" t="s">
        <v>34</v>
      </c>
      <c r="Y19" s="13" t="s">
        <v>35</v>
      </c>
      <c r="Z19" s="43" t="s">
        <v>43</v>
      </c>
      <c r="AA19" s="44">
        <v>0</v>
      </c>
      <c r="AB19" s="44">
        <v>0.2</v>
      </c>
      <c r="AC19" s="44">
        <v>0.4</v>
      </c>
      <c r="AD19" s="44">
        <v>0.6</v>
      </c>
      <c r="AE19" s="44">
        <v>0.8</v>
      </c>
      <c r="AF19" s="44">
        <v>1</v>
      </c>
      <c r="AH19" s="51" t="s">
        <v>105</v>
      </c>
      <c r="AI19" s="45">
        <v>0</v>
      </c>
      <c r="AJ19" s="45">
        <v>0.2</v>
      </c>
      <c r="AK19" s="45">
        <v>0.4</v>
      </c>
      <c r="AL19" s="45">
        <v>0.6</v>
      </c>
      <c r="AM19" s="45">
        <v>0.8</v>
      </c>
      <c r="AN19" s="45">
        <v>0.80840000000000001</v>
      </c>
      <c r="AO19" s="44">
        <v>1</v>
      </c>
    </row>
    <row r="20" spans="1:54" x14ac:dyDescent="0.25">
      <c r="E20" s="5">
        <f>C18*I2</f>
        <v>126.33053602379098</v>
      </c>
      <c r="H20" s="12">
        <v>0</v>
      </c>
      <c r="I20" s="30">
        <f>IF($E$12&gt;$D$5,IF($B$2*(1+$E$2)&lt;$R$2,$B$2*(1-I$19)+$B$2*$E$2*(1-I$19)+$L$2*$W20*(I$19-$H20),$R$2*(1-I$19)+$L$2*$X20*(I$19-$H20)),IF($E$12*(1-$O$2)&gt;$P$2,$E$12*(1-$O$2)-$P$2,0))</f>
        <v>105</v>
      </c>
      <c r="J20" s="30">
        <f>IF($E$12&gt;$D$6,IF($B$2*(1+$E$2)&lt;$R$2,$B$2*(1-J$19)+$B$2*$E$2*(1-J$19)+$L$2*$W$21*(J$19-$H20),$R$2*(1-J$19)+$L$2*$X$21*(J$19-$H20)),IF($E$12*(1-$O$2)&gt;$P$2,$E$12*(1-$O$2)-$P$2,0))</f>
        <v>184.97417560163439</v>
      </c>
      <c r="K20" s="30">
        <f>IF($E$12&gt;$D$7,IF($B$2*(1+$E$2)&lt;$R$2,$B$2*(1-K$19)+$B$2*$E$2*(1-K$19)+$L$2*$W$22*(K$19-$H20),$R$2*(1-K$19)+$L$2*$X$22*(K$19-$H20)),IF($E$12*(1-$O$2)&gt;$P$2,$E$12*(1-$O$2)-$P$2,0))</f>
        <v>242.04144388851614</v>
      </c>
      <c r="L20" s="30">
        <f>IF($E$12&gt;$D$8,IF($B$2*(1+$E$2)&lt;$R$2,$B$2*(1-L$19)+$B$2*$E$2*(1-L$19)+$L$2*$W$23*(L$19-$H20),$R$2*(1-L$19)+$L$2*$X$23*(L$19-$H20)),IF($E$12*(1-$O$2)&gt;$P$2,$E$12*(1-$O$2)-$P$2,0))</f>
        <v>284.79189510367735</v>
      </c>
      <c r="M20" s="30">
        <f>IF($E$12&gt;$D$9,IF($B$2*(1+$E$2)&lt;$R$2,$B$2*(1-M$19)+$B$2*$E$2*(1-M$19)+$L$2*$W$24*(M$19-$H20),$R$2*(1-M$19)+$L$2*$X$24*(M$19-$H20)),IF($E$12*(1-$O$2)&gt;$P$2,$E$12*(1-$O$2)-$P$2,0))</f>
        <v>317.99780160435841</v>
      </c>
      <c r="N20" s="32">
        <f t="shared" ref="N20:N25" si="5">IF($E$12&gt;$D$10,IF($B$2*(1+$E$2)&lt;$R$2,$B$2*(1-N$19)+$B$2*$E$2*(1-N$19)+$L$2*$W$25*(N$19-$H20),$R$2*(1-N$19)+$L$2*$X$25*(N$19-$H20)),IF($E$12*(1-$O$2)&gt;$P$2,$E$12*(1-$O$2)-$P$2,0))</f>
        <v>344.52252680490318</v>
      </c>
      <c r="O20" s="12" t="s">
        <v>33</v>
      </c>
      <c r="P20" s="30">
        <f t="shared" ref="P20:U20" si="6">MAX($E$12-$P$2+$A$2*$D$2*$C$2-$B$2*(1-P19)-$B$2*(1-P19)*(1-$C$2)*$E$2,0)</f>
        <v>585.04505360980636</v>
      </c>
      <c r="Q20" s="30">
        <f t="shared" si="6"/>
        <v>605.84505360980631</v>
      </c>
      <c r="R20" s="30">
        <f t="shared" si="6"/>
        <v>626.64505360980638</v>
      </c>
      <c r="S20" s="30">
        <f t="shared" si="6"/>
        <v>647.44505360980634</v>
      </c>
      <c r="T20" s="30">
        <f t="shared" si="6"/>
        <v>668.2450536098064</v>
      </c>
      <c r="U20" s="30">
        <f t="shared" si="6"/>
        <v>689.04505360980636</v>
      </c>
      <c r="V20" s="12">
        <v>0</v>
      </c>
      <c r="W20" s="4">
        <f>P20/(1+$L$2*V20)</f>
        <v>585.04505360980636</v>
      </c>
      <c r="X20" s="39">
        <f>P21/(1+$L$2*V20)</f>
        <v>583.04505360980636</v>
      </c>
      <c r="Y20" s="4">
        <f>P$22/(1+$L$2*V20)</f>
        <v>689.04505360980636</v>
      </c>
      <c r="Z20" s="43" t="s">
        <v>44</v>
      </c>
      <c r="AA20" s="43">
        <f t="shared" ref="AA20:AF22" si="7">IF(P20&gt;0,$P$2,MIN((1-$O$2)*$E$12,$P$2))</f>
        <v>108</v>
      </c>
      <c r="AB20" s="43">
        <f t="shared" si="7"/>
        <v>108</v>
      </c>
      <c r="AC20" s="43">
        <f t="shared" si="7"/>
        <v>108</v>
      </c>
      <c r="AD20" s="43">
        <f t="shared" si="7"/>
        <v>108</v>
      </c>
      <c r="AE20" s="43">
        <f t="shared" si="7"/>
        <v>108</v>
      </c>
      <c r="AF20" s="43">
        <f t="shared" si="7"/>
        <v>108</v>
      </c>
      <c r="AH20" s="51" t="s">
        <v>106</v>
      </c>
      <c r="AI20" s="46">
        <f>Q37/(1+$L$2*AI19)</f>
        <v>0</v>
      </c>
      <c r="AJ20" s="46">
        <f t="shared" ref="AJ20:AO20" si="8">R37/(1+$L$2*AJ19)</f>
        <v>0</v>
      </c>
      <c r="AK20" s="46">
        <f t="shared" si="8"/>
        <v>0</v>
      </c>
      <c r="AL20" s="46">
        <f t="shared" si="8"/>
        <v>0</v>
      </c>
      <c r="AM20" s="46">
        <f t="shared" si="8"/>
        <v>0</v>
      </c>
      <c r="AN20" s="46">
        <f t="shared" si="8"/>
        <v>9.4302158698845687E-2</v>
      </c>
      <c r="AO20" s="46">
        <f t="shared" si="8"/>
        <v>9.9652680118954926</v>
      </c>
    </row>
    <row r="21" spans="1:54" x14ac:dyDescent="0.25">
      <c r="H21" s="12">
        <v>0.2</v>
      </c>
      <c r="I21" s="30"/>
      <c r="J21" s="30">
        <f>IF($E$12&gt;$D$6,IF($B$2*(1+$E$2)&lt;$R$2,$B$2*(1-J$19)+$B$2*$E$2*(1-J$19)+$L$2*$W$21*(J$19-$H21),$R$2*(1-J$19)+$L$2*$X$21*(J$19-$H21)),IF($E$12*(1-$O$2)&gt;$P$2,$E$12*(1-$O$2)-$P$2,0))</f>
        <v>84</v>
      </c>
      <c r="K21" s="30">
        <f>IF($E$12&gt;$D$7,IF($B$2*(1+$E$2)&lt;$R$2,$B$2*(1-K$19)+$B$2*$E$2*(1-K$19)+$L$2*$W$22*(K$19-$H21),$R$2*(1-K$19)+$L$2*$X$22*(K$19-$H21)),IF($E$12*(1-$O$2)&gt;$P$2,$E$12*(1-$O$2)-$P$2,0))</f>
        <v>152.52072194425807</v>
      </c>
      <c r="L21" s="30">
        <f>IF($E$12&gt;$D$8,IF($B$2*(1+$E$2)&lt;$R$2,$B$2*(1-L$19)+$B$2*$E$2*(1-L$19)+$L$2*$W$23*(L$19-$H21),$R$2*(1-L$19)+$L$2*$X$23*(L$19-$H21)),IF($E$12*(1-$O$2)&gt;$P$2,$E$12*(1-$O$2)-$P$2,0))</f>
        <v>203.86126340245156</v>
      </c>
      <c r="M21" s="30">
        <f>IF($E$12&gt;$D$9,IF($B$2*(1+$E$2)&lt;$R$2,$B$2*(1-M$19)+$B$2*$E$2*(1-M$19)+$L$2*$W$24*(M$19-$H21),$R$2*(1-M$19)+$L$2*$X$24*(M$19-$H21)),IF($E$12*(1-$O$2)&gt;$P$2,$E$12*(1-$O$2)-$P$2,0))</f>
        <v>243.74835120326884</v>
      </c>
      <c r="N21" s="32">
        <f t="shared" si="5"/>
        <v>275.61802144392254</v>
      </c>
      <c r="O21" s="12" t="s">
        <v>34</v>
      </c>
      <c r="P21" s="38">
        <f t="shared" ref="P21:U21" si="9">MAX($E$12-$P$2+$A$2*$D$2*$C$2-(1-P19)*$R$2,0)</f>
        <v>583.04505360980636</v>
      </c>
      <c r="Q21" s="38">
        <f t="shared" si="9"/>
        <v>604.24505360980629</v>
      </c>
      <c r="R21" s="38">
        <f t="shared" si="9"/>
        <v>625.44505360980634</v>
      </c>
      <c r="S21" s="38">
        <f t="shared" si="9"/>
        <v>646.64505360980638</v>
      </c>
      <c r="T21" s="38">
        <f t="shared" si="9"/>
        <v>667.84505360980631</v>
      </c>
      <c r="U21" s="38">
        <f t="shared" si="9"/>
        <v>689.04505360980636</v>
      </c>
      <c r="V21" s="12">
        <v>0.2</v>
      </c>
      <c r="W21" s="4">
        <f>Q20/(1+$L$2*V21)</f>
        <v>504.87087800817193</v>
      </c>
      <c r="X21" s="39">
        <f>Q21/(1+$L$2*V21)</f>
        <v>503.53754467483861</v>
      </c>
      <c r="Y21" s="4">
        <f>Q$22/(1+$L$2*V21)</f>
        <v>574.20421134150536</v>
      </c>
      <c r="Z21" s="43" t="s">
        <v>45</v>
      </c>
      <c r="AA21" s="43">
        <f t="shared" si="7"/>
        <v>108</v>
      </c>
      <c r="AB21" s="43">
        <f t="shared" si="7"/>
        <v>108</v>
      </c>
      <c r="AC21" s="43">
        <f t="shared" si="7"/>
        <v>108</v>
      </c>
      <c r="AD21" s="43">
        <f t="shared" si="7"/>
        <v>108</v>
      </c>
      <c r="AE21" s="43">
        <f t="shared" si="7"/>
        <v>108</v>
      </c>
      <c r="AF21" s="43">
        <f t="shared" si="7"/>
        <v>108</v>
      </c>
      <c r="AH21" s="51" t="s">
        <v>107</v>
      </c>
      <c r="AI21" s="46">
        <f>Q38/(1+$L$2*AI19)</f>
        <v>0</v>
      </c>
      <c r="AJ21" s="46">
        <f t="shared" ref="AJ21:AN21" si="10">R38/(1+$L$2*AJ19)</f>
        <v>0</v>
      </c>
      <c r="AK21" s="46">
        <f t="shared" si="10"/>
        <v>0</v>
      </c>
      <c r="AL21" s="46">
        <f t="shared" si="10"/>
        <v>0</v>
      </c>
      <c r="AM21" s="46">
        <f t="shared" si="10"/>
        <v>0</v>
      </c>
      <c r="AN21" s="46">
        <f t="shared" si="10"/>
        <v>0</v>
      </c>
      <c r="AO21" s="46">
        <f>W38/(1+$L$2*AO19)</f>
        <v>9.9652680118954926</v>
      </c>
    </row>
    <row r="22" spans="1:54" x14ac:dyDescent="0.25">
      <c r="H22" s="12">
        <v>0.4</v>
      </c>
      <c r="I22" s="30"/>
      <c r="J22" s="30"/>
      <c r="K22" s="30">
        <f>IF($E$12&gt;$D$7,IF($B$2*(1+$E$2)&lt;$R$2,$B$2*(1-K$19)+$B$2*$E$2*(1-K$19)+$L$2*$W$22*(K$19-$H22),$R$2*(1-K$19)+$L$2*$X$22*(K$19-$H22)),IF($E$12*(1-$O$2)&gt;$P$2,$E$12*(1-$O$2)-$P$2,0))</f>
        <v>63</v>
      </c>
      <c r="L22" s="30">
        <f>IF($E$12&gt;$D$8,IF($B$2*(1+$E$2)&lt;$R$2,$B$2*(1-L$19)+$B$2*$E$2*(1-L$19)+$L$2*$W$23*(L$19-$H22),$R$2*(1-L$19)+$L$2*$X$23*(L$19-$H22)),IF($E$12*(1-$O$2)&gt;$P$2,$E$12*(1-$O$2)-$P$2,0))</f>
        <v>122.93063170122576</v>
      </c>
      <c r="M22" s="30">
        <f>IF($E$12&gt;$D$9,IF($B$2*(1+$E$2)&lt;$R$2,$B$2*(1-M$19)+$B$2*$E$2*(1-M$19)+$L$2*$W$24*(M$19-$H22),$R$2*(1-M$19)+$L$2*$X$24*(M$19-$H22)),IF($E$12*(1-$O$2)&gt;$P$2,$E$12*(1-$O$2)-$P$2,0))</f>
        <v>169.49890080217921</v>
      </c>
      <c r="N22" s="32">
        <f t="shared" si="5"/>
        <v>206.71351608294191</v>
      </c>
      <c r="O22" s="12" t="s">
        <v>35</v>
      </c>
      <c r="P22" s="38">
        <f t="shared" ref="P22:U22" si="11">MAX($E$12-$P$2+$A$2*$D$2*$C$2,0)</f>
        <v>689.04505360980636</v>
      </c>
      <c r="Q22" s="38">
        <f t="shared" si="11"/>
        <v>689.04505360980636</v>
      </c>
      <c r="R22" s="38">
        <f t="shared" si="11"/>
        <v>689.04505360980636</v>
      </c>
      <c r="S22" s="38">
        <f t="shared" si="11"/>
        <v>689.04505360980636</v>
      </c>
      <c r="T22" s="38">
        <f t="shared" si="11"/>
        <v>689.04505360980636</v>
      </c>
      <c r="U22" s="38">
        <f t="shared" si="11"/>
        <v>689.04505360980636</v>
      </c>
      <c r="V22" s="12">
        <v>0.4</v>
      </c>
      <c r="W22" s="4">
        <f>R20/(1+$L$2*V22)</f>
        <v>447.6036097212903</v>
      </c>
      <c r="X22" s="39">
        <f>R21/(1+$L$2*V22)</f>
        <v>446.74646686414741</v>
      </c>
      <c r="Y22" s="4">
        <f>R$22/(1+$L$2*V22)</f>
        <v>492.17503829271885</v>
      </c>
      <c r="Z22" s="43" t="s">
        <v>42</v>
      </c>
      <c r="AA22" s="43">
        <f t="shared" si="7"/>
        <v>108</v>
      </c>
      <c r="AB22" s="43">
        <f t="shared" si="7"/>
        <v>108</v>
      </c>
      <c r="AC22" s="43">
        <f t="shared" si="7"/>
        <v>108</v>
      </c>
      <c r="AD22" s="43">
        <f t="shared" si="7"/>
        <v>108</v>
      </c>
      <c r="AE22" s="43">
        <f t="shared" si="7"/>
        <v>108</v>
      </c>
      <c r="AF22" s="43">
        <f t="shared" si="7"/>
        <v>108</v>
      </c>
      <c r="AH22" s="51" t="s">
        <v>42</v>
      </c>
      <c r="AI22" s="46">
        <f>Q39/(1+$L$2*AI19)</f>
        <v>19.930536023790985</v>
      </c>
      <c r="AJ22" s="46">
        <f t="shared" ref="AJ22:AO22" si="12">R39/(1+$L$2*AJ19)</f>
        <v>16.608780019825822</v>
      </c>
      <c r="AK22" s="46">
        <f t="shared" si="12"/>
        <v>14.236097159850704</v>
      </c>
      <c r="AL22" s="46">
        <f t="shared" si="12"/>
        <v>12.456585014869365</v>
      </c>
      <c r="AM22" s="46">
        <f t="shared" si="12"/>
        <v>11.072520013217213</v>
      </c>
      <c r="AN22" s="46">
        <f t="shared" si="12"/>
        <v>11.021088267966702</v>
      </c>
      <c r="AO22" s="46">
        <f t="shared" si="12"/>
        <v>9.9652680118954926</v>
      </c>
    </row>
    <row r="23" spans="1:54" x14ac:dyDescent="0.25">
      <c r="H23" s="12">
        <v>0.6</v>
      </c>
      <c r="I23" s="30"/>
      <c r="J23" s="30"/>
      <c r="K23" s="30"/>
      <c r="L23" s="30">
        <f>IF($E$12&gt;$D$8,IF($B$2*(1+$E$2)&lt;$R$2,$B$2*(1-L$19)+$B$2*$E$2*(1-L$19)+$L$2*$W$23*(L$19-$H23),$R$2*(1-L$19)+$L$2*$X$23*(L$19-$H23)),IF($E$12*(1-$O$2)&gt;$P$2,$E$12*(1-$O$2)-$P$2,0))</f>
        <v>42</v>
      </c>
      <c r="M23" s="30">
        <f>IF($E$12&gt;$D$9,IF($B$2*(1+$E$2)&lt;$R$2,$B$2*(1-M$19)+$B$2*$E$2*(1-M$19)+$L$2*$W$24*(M$19-$H23),$R$2*(1-M$19)+$L$2*$X$24*(M$19-$H23)),IF($E$12*(1-$O$2)&gt;$P$2,$E$12*(1-$O$2)-$P$2,0))</f>
        <v>95.249450401089618</v>
      </c>
      <c r="N23" s="32">
        <f t="shared" si="5"/>
        <v>137.80901072196127</v>
      </c>
      <c r="O23" s="12">
        <v>0.6</v>
      </c>
      <c r="P23" s="38"/>
      <c r="Q23" s="38"/>
      <c r="R23" s="38"/>
      <c r="S23" s="38"/>
      <c r="T23" s="38"/>
      <c r="U23" s="38"/>
      <c r="V23" s="12">
        <v>0.6</v>
      </c>
      <c r="W23" s="4">
        <f>S20/(1+$L$2*V23)</f>
        <v>404.65315850612893</v>
      </c>
      <c r="X23" s="39">
        <f>S21/(1+$L$2*V23)</f>
        <v>404.15315850612899</v>
      </c>
      <c r="Y23" s="4">
        <f>S$22/(1+$L$2*V23)</f>
        <v>430.65315850612893</v>
      </c>
    </row>
    <row r="24" spans="1:54" x14ac:dyDescent="0.25">
      <c r="H24" s="12">
        <v>0.8</v>
      </c>
      <c r="I24" s="30"/>
      <c r="J24" s="30"/>
      <c r="K24" s="30"/>
      <c r="L24" s="30"/>
      <c r="M24" s="30">
        <f>IF($E$12&gt;$D$9,IF($B$2*(1+$E$2)&lt;$R$2,$B$2*(1-M$19)+$B$2*$E$2*(1-M$19)+$L$2*$W$24*(M$19-$H24),$R$2*(1-M$19)+$L$2*$X$24*(M$19-$H24)),IF($E$12*(1-$O$2)&gt;$P$2,$E$12*(1-$O$2)-$P$2,0))</f>
        <v>20.999999999999996</v>
      </c>
      <c r="N24" s="32">
        <f t="shared" si="5"/>
        <v>68.904505360980622</v>
      </c>
      <c r="O24" s="12">
        <v>0.8</v>
      </c>
      <c r="P24" s="38"/>
      <c r="Q24" s="38"/>
      <c r="R24" s="38"/>
      <c r="S24" s="38"/>
      <c r="T24" s="38"/>
      <c r="U24" s="38"/>
      <c r="V24" s="12">
        <v>0.8</v>
      </c>
      <c r="W24" s="4">
        <f>T20/(1+$L$2*V24)</f>
        <v>371.24725200544799</v>
      </c>
      <c r="X24" s="39">
        <f>T21/(1+$L$2*V24)</f>
        <v>371.0250297832257</v>
      </c>
      <c r="Y24" s="4">
        <f>T$22/(1+$L$2*V24)</f>
        <v>382.80280756100353</v>
      </c>
      <c r="AH24" s="52" t="s">
        <v>108</v>
      </c>
      <c r="AI24" s="58">
        <v>0</v>
      </c>
      <c r="AJ24" s="58">
        <v>0.2</v>
      </c>
      <c r="AK24" s="58">
        <v>0.4</v>
      </c>
      <c r="AL24" s="58">
        <v>0.6</v>
      </c>
      <c r="AM24" s="58">
        <v>0.8</v>
      </c>
      <c r="AN24" s="58">
        <v>0.81399999999999995</v>
      </c>
      <c r="AO24" s="58">
        <v>1</v>
      </c>
    </row>
    <row r="25" spans="1:54" x14ac:dyDescent="0.25">
      <c r="H25" s="12">
        <v>1</v>
      </c>
      <c r="I25" s="30"/>
      <c r="J25" s="30"/>
      <c r="K25" s="30"/>
      <c r="L25" s="30"/>
      <c r="M25" s="30"/>
      <c r="N25" s="32">
        <f t="shared" si="5"/>
        <v>0</v>
      </c>
      <c r="O25" s="12">
        <v>1</v>
      </c>
      <c r="P25" s="38"/>
      <c r="Q25" s="38"/>
      <c r="R25" s="38"/>
      <c r="S25" s="38"/>
      <c r="T25" s="38"/>
      <c r="U25" s="38"/>
      <c r="V25" s="12">
        <v>1</v>
      </c>
      <c r="W25" s="4">
        <f>U20/(1+$L$2*V25)</f>
        <v>344.52252680490318</v>
      </c>
      <c r="X25" s="39">
        <f>U21/(1+$L$2*V25)</f>
        <v>344.52252680490318</v>
      </c>
      <c r="Y25" s="4">
        <f>U$22/(1+$L$2*V25)</f>
        <v>344.52252680490318</v>
      </c>
      <c r="AH25" s="58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59">
        <v>20.119848906012294</v>
      </c>
      <c r="AO25" s="59">
        <v>9.9652680118954926</v>
      </c>
    </row>
    <row r="26" spans="1:54" x14ac:dyDescent="0.25">
      <c r="H26" s="12"/>
      <c r="I26" s="30" t="s">
        <v>36</v>
      </c>
      <c r="J26" s="30"/>
      <c r="K26" s="30"/>
      <c r="L26" s="30"/>
      <c r="M26" s="30"/>
      <c r="N26" s="32"/>
      <c r="O26" s="12"/>
      <c r="P26" s="38"/>
      <c r="Q26" s="38"/>
      <c r="R26" s="38"/>
      <c r="S26" s="38"/>
      <c r="T26" s="38"/>
      <c r="U26" s="38"/>
      <c r="V26" s="12"/>
      <c r="W26" s="4"/>
      <c r="X26" s="39"/>
      <c r="Y26" s="4"/>
      <c r="AH26" s="58">
        <v>0.2</v>
      </c>
      <c r="AI26" s="59"/>
      <c r="AJ26" s="59">
        <v>0</v>
      </c>
      <c r="AK26" s="59">
        <v>0</v>
      </c>
      <c r="AL26" s="59">
        <v>0</v>
      </c>
      <c r="AM26" s="59">
        <v>0</v>
      </c>
      <c r="AN26" s="59">
        <v>20.119391482456553</v>
      </c>
      <c r="AO26" s="59">
        <v>7.9722144095163943</v>
      </c>
    </row>
    <row r="27" spans="1:54" x14ac:dyDescent="0.25">
      <c r="G27" s="13"/>
      <c r="H27" s="13"/>
      <c r="I27" s="28"/>
      <c r="J27" s="28"/>
      <c r="K27" s="28"/>
      <c r="L27" s="28"/>
      <c r="M27" s="28"/>
      <c r="N27" s="28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43" t="s">
        <v>43</v>
      </c>
      <c r="AA27" s="44">
        <v>0</v>
      </c>
      <c r="AB27" s="44">
        <v>0.2</v>
      </c>
      <c r="AC27" s="44">
        <v>0.4</v>
      </c>
      <c r="AD27" s="44">
        <v>0.6</v>
      </c>
      <c r="AE27" s="44">
        <v>0.8</v>
      </c>
      <c r="AF27" s="44">
        <v>1</v>
      </c>
      <c r="AH27" s="58">
        <v>0.4</v>
      </c>
      <c r="AI27" s="59"/>
      <c r="AJ27" s="59"/>
      <c r="AK27" s="59">
        <v>0</v>
      </c>
      <c r="AL27" s="59">
        <v>0</v>
      </c>
      <c r="AM27" s="59">
        <v>0</v>
      </c>
      <c r="AN27" s="59">
        <v>20.118934058900816</v>
      </c>
      <c r="AO27" s="59">
        <v>5.979160807137295</v>
      </c>
    </row>
    <row r="28" spans="1:54" x14ac:dyDescent="0.25">
      <c r="G28" s="13"/>
      <c r="H28" s="13" t="s">
        <v>19</v>
      </c>
      <c r="I28" s="14">
        <v>0</v>
      </c>
      <c r="J28" s="14">
        <v>0.2</v>
      </c>
      <c r="K28" s="14">
        <v>0.4</v>
      </c>
      <c r="L28" s="14">
        <v>0.6</v>
      </c>
      <c r="M28" s="14">
        <v>0.8</v>
      </c>
      <c r="N28" s="14">
        <v>1</v>
      </c>
      <c r="O28" s="14" t="s">
        <v>14</v>
      </c>
      <c r="P28" s="14">
        <v>0</v>
      </c>
      <c r="Q28" s="14">
        <v>0.2</v>
      </c>
      <c r="R28" s="14">
        <v>0.4</v>
      </c>
      <c r="S28" s="14">
        <v>0.6</v>
      </c>
      <c r="T28" s="14">
        <v>0.8</v>
      </c>
      <c r="U28" s="14">
        <v>1</v>
      </c>
      <c r="V28" s="13" t="s">
        <v>15</v>
      </c>
      <c r="W28" s="14" t="s">
        <v>33</v>
      </c>
      <c r="X28" s="13" t="s">
        <v>34</v>
      </c>
      <c r="Y28" s="13" t="s">
        <v>35</v>
      </c>
      <c r="Z28" s="43" t="s">
        <v>44</v>
      </c>
      <c r="AA28" s="43">
        <f t="shared" ref="AA28:AE30" si="13">IF(P29&gt;0,$P$2,MIN((1-$O$2)*$E$16,$P$2))</f>
        <v>108</v>
      </c>
      <c r="AB28" s="43">
        <f t="shared" si="13"/>
        <v>108</v>
      </c>
      <c r="AC28" s="43">
        <f t="shared" si="13"/>
        <v>108</v>
      </c>
      <c r="AD28" s="43">
        <f t="shared" si="13"/>
        <v>108</v>
      </c>
      <c r="AE28" s="43">
        <f t="shared" si="13"/>
        <v>108</v>
      </c>
      <c r="AF28" s="43">
        <f>IF(U29&gt;0,$P$2,MIN((1-$O$2)*$E$16,$P$2))</f>
        <v>108</v>
      </c>
      <c r="AH28" s="58">
        <v>0.6</v>
      </c>
      <c r="AI28" s="59"/>
      <c r="AJ28" s="59"/>
      <c r="AK28" s="59"/>
      <c r="AL28" s="59">
        <v>0</v>
      </c>
      <c r="AM28" s="59">
        <v>0</v>
      </c>
      <c r="AN28" s="59">
        <v>20.118476635345079</v>
      </c>
      <c r="AO28" s="59">
        <v>3.9861072047581971</v>
      </c>
    </row>
    <row r="29" spans="1:54" x14ac:dyDescent="0.25">
      <c r="H29" s="14">
        <v>0</v>
      </c>
      <c r="I29" s="30">
        <f>IF($E$16&gt;$D$5,IF($B$2*(1+$E$2)&lt;$R$2,$B$2*(1-I$28)+$B$2*$E$2*(1-I$28)+$L$2*$W29*(I$28-$H29),$R$2*(1-I$28)+$L$2*$X29*(I$28-$H29)),IF($E$16*(1-$O$2)&gt;$P$2,$E$16*(1-$O$2)-$P$2,0))</f>
        <v>105</v>
      </c>
      <c r="J29" s="30">
        <f>IF($E$16&gt;$D$6,IF($B$2*(1+$E$2)&lt;$R$2,$B$2*(1-J$28)+$B$2*$E$2*(1-J$28)+$L$2*$W$30*(J$28-$H29),$R$2*(1-J$28)+$L$2*$X$30*(J$28-$H29)),IF($E$16*(1-$O$2)&gt;$P$2,$E$16*(1-$O$2)-$P$2,0))</f>
        <v>105.23333333333333</v>
      </c>
      <c r="K29" s="30">
        <f>IF($E$16&gt;$D$7,IF($B$2*(1+$E$2)&lt;$R$2,$B$2*(1-K$19)+$B$2*$E$2*(1-K$19)+$L$2*$W$31*(K$19-$H29),$R$2*(1-K$19)+$L$2*$X$31*(K$19-$H29)),IF($E$16*(1-$O$2)&gt;$P$2,$E$16*(1-$O$2)-$P$2,0))</f>
        <v>105.34285714285716</v>
      </c>
      <c r="L29" s="32">
        <f>IF($E$16&gt;$D$8,IF($B$2*(1+$E$2)&lt;$R$2,$B$2*(1-L$19)+$B$2*$E$2*(1-L$19)+$L$2*$W$32*(L$19-$H29),$R$2*(1-L$19)+$L$2*$X$32*(L$19-$H29)),IF($E$16*(1-$O$2)&gt;$P$2,$E$16*(1-$O$2)-$P$2,0))</f>
        <v>105.375</v>
      </c>
      <c r="M29" s="30">
        <f>IF($E$16&gt;$D$9,IF($B$2*(1+$E$2)&lt;$R$2,$B$2*(1-M$19)+$B$2*$E$2*(1-M$19)+$L$2*$W$33*(M$19-$H29),$R$2*(1-M$19)+$L$2*$X$33*(M$19-$H29)),IF($E$16*(1-$O$2)&gt;$P$2,$E$16*(1-$O$2)-$P$2,0))</f>
        <v>105.35555555555555</v>
      </c>
      <c r="N29" s="30">
        <f t="shared" ref="N29:N34" si="14">IF($E$16&gt;$D$10,IF($B$2*(1+$E$2)&lt;$R$2,$B$2*(1-N$19)+$B$2*$E$2*(1-N$19)+$L$2*$W$34*(N$19-$H29),$R$2*(1-N$19)+$L$2*$X$34*(N$19-$H29)),IF($E$16*(1-$O$2)&gt;$P$2,$E$16*(1-$O$2)-$P$2,0))</f>
        <v>105.3</v>
      </c>
      <c r="O29" s="14" t="s">
        <v>33</v>
      </c>
      <c r="P29" s="30">
        <f t="shared" ref="P29:U29" si="15">MAX($E$16-$P$2+$A$2*$D$2*$C$2-$B$2*(1-P28)-$B$2*(1-P28)*(1-$C$2)*$E$2,0)</f>
        <v>106.6</v>
      </c>
      <c r="Q29" s="30">
        <f t="shared" si="15"/>
        <v>127.39999999999999</v>
      </c>
      <c r="R29" s="30">
        <f t="shared" si="15"/>
        <v>148.19999999999999</v>
      </c>
      <c r="S29" s="30">
        <f t="shared" si="15"/>
        <v>169</v>
      </c>
      <c r="T29" s="30">
        <f t="shared" si="15"/>
        <v>189.79999999999998</v>
      </c>
      <c r="U29" s="30">
        <f t="shared" si="15"/>
        <v>210.6</v>
      </c>
      <c r="V29" s="14">
        <v>0</v>
      </c>
      <c r="W29" s="13">
        <f>P29/(1+$L$2*V29)</f>
        <v>106.6</v>
      </c>
      <c r="X29" s="13">
        <f>P$30/(1+$L$2*V29)</f>
        <v>104.6</v>
      </c>
      <c r="Y29" s="13">
        <f>P$31/(1+$L$2*V29)</f>
        <v>210.6</v>
      </c>
      <c r="Z29" s="43" t="s">
        <v>45</v>
      </c>
      <c r="AA29" s="43">
        <f t="shared" si="13"/>
        <v>108</v>
      </c>
      <c r="AB29" s="43">
        <f t="shared" si="13"/>
        <v>108</v>
      </c>
      <c r="AC29" s="43">
        <f t="shared" si="13"/>
        <v>108</v>
      </c>
      <c r="AD29" s="43">
        <f t="shared" si="13"/>
        <v>108</v>
      </c>
      <c r="AE29" s="43">
        <f t="shared" si="13"/>
        <v>108</v>
      </c>
      <c r="AF29" s="43">
        <f>IF(U30&gt;0,$P$2,MIN((1-$O$2)*$E$16,$P$2))</f>
        <v>108</v>
      </c>
      <c r="AH29" s="58">
        <v>0.8</v>
      </c>
      <c r="AI29" s="59"/>
      <c r="AJ29" s="59"/>
      <c r="AK29" s="59"/>
      <c r="AL29" s="59"/>
      <c r="AM29" s="59">
        <v>0</v>
      </c>
      <c r="AN29" s="59">
        <v>20.118019211789338</v>
      </c>
      <c r="AO29" s="59">
        <v>1.9930536023790981</v>
      </c>
    </row>
    <row r="30" spans="1:54" x14ac:dyDescent="0.25">
      <c r="H30" s="14">
        <v>0.2</v>
      </c>
      <c r="I30" s="13"/>
      <c r="J30" s="30">
        <f>IF($E$16&gt;$D$6,IF($B$2*(1+$E$2)&lt;$R$2,$B$2*(1-J$28)+$B$2*$E$2*(1-J$28)+$L$2*$W$30*(J$28-$H30),$R$2*(1-J$28)+$L$2*$X$30*(J$28-$H30)),IF($E$16*(1-$O$2)&gt;$P$2,$E$16*(1-$O$2)-$P$2,0))</f>
        <v>84</v>
      </c>
      <c r="K30" s="30">
        <f>IF($E$16&gt;$D$7,IF($B$2*(1+$E$2)&lt;$R$2,$B$2*(1-K$19)+$B$2*$E$2*(1-K$19)+$L$2*$W$31*(K$19-$H30),$R$2*(1-K$19)+$L$2*$X$31*(K$19-$H30)),IF($E$16*(1-$O$2)&gt;$P$2,$E$16*(1-$O$2)-$P$2,0))</f>
        <v>84.171428571428578</v>
      </c>
      <c r="L30" s="30">
        <f>IF($E$16&gt;$D$8,IF($B$2*(1+$E$2)&lt;$R$2,$B$2*(1-L$19)+$B$2*$E$2*(1-L$19)+$L$2*$W$32*(L$19-$H30),$R$2*(1-L$19)+$L$2*$X$32*(L$19-$H30)),IF($E$16*(1-$O$2)&gt;$P$2,$E$16*(1-$O$2)-$P$2,0))</f>
        <v>84.25</v>
      </c>
      <c r="M30" s="32">
        <f>IF($E$16&gt;$D$9,IF($B$2*(1+$E$2)&lt;$R$2,$B$2*(1-M$19)+$B$2*$E$2*(1-M$19)+$L$2*$W$33*(M$19-$H30),$R$2*(1-M$19)+$L$2*$X$33*(M$19-$H30)),IF($E$16*(1-$O$2)&gt;$P$2,$E$16*(1-$O$2)-$P$2,0))</f>
        <v>84.266666666666666</v>
      </c>
      <c r="N30" s="30">
        <f t="shared" si="14"/>
        <v>84.240000000000009</v>
      </c>
      <c r="O30" s="12" t="s">
        <v>34</v>
      </c>
      <c r="P30" s="73">
        <f t="shared" ref="P30:U30" si="16">MAX($E$16-$P$2+$A$2*$D$2*$C$2-(1-P$28)*$R$2,0)</f>
        <v>104.6</v>
      </c>
      <c r="Q30" s="73">
        <f t="shared" si="16"/>
        <v>125.79999999999998</v>
      </c>
      <c r="R30" s="73">
        <f t="shared" si="16"/>
        <v>147</v>
      </c>
      <c r="S30" s="73">
        <f t="shared" si="16"/>
        <v>168.2</v>
      </c>
      <c r="T30" s="73">
        <f t="shared" si="16"/>
        <v>189.4</v>
      </c>
      <c r="U30" s="73">
        <f t="shared" si="16"/>
        <v>210.6</v>
      </c>
      <c r="V30" s="14">
        <v>0.2</v>
      </c>
      <c r="W30" s="13">
        <f>Q29/(1+$L$2*V30)</f>
        <v>106.16666666666666</v>
      </c>
      <c r="X30" s="13">
        <f>Q$30/(1+$L$2*V30)</f>
        <v>104.83333333333333</v>
      </c>
      <c r="Y30" s="13">
        <f>Q$31/(1+$L$2*V30)</f>
        <v>175.5</v>
      </c>
      <c r="Z30" s="43" t="s">
        <v>42</v>
      </c>
      <c r="AA30" s="43">
        <f t="shared" si="13"/>
        <v>108</v>
      </c>
      <c r="AB30" s="43">
        <f t="shared" si="13"/>
        <v>108</v>
      </c>
      <c r="AC30" s="43">
        <f t="shared" si="13"/>
        <v>108</v>
      </c>
      <c r="AD30" s="43">
        <f t="shared" si="13"/>
        <v>108</v>
      </c>
      <c r="AE30" s="43">
        <f t="shared" si="13"/>
        <v>108</v>
      </c>
      <c r="AF30" s="43">
        <f>IF(U31&gt;0,$P$2,MIN((1-$O$2)*$E$16,$P$2))</f>
        <v>108</v>
      </c>
      <c r="AH30" s="58">
        <v>0.81</v>
      </c>
      <c r="AI30" s="59"/>
      <c r="AJ30" s="59"/>
      <c r="AK30" s="59"/>
      <c r="AL30" s="59"/>
      <c r="AM30" s="59"/>
      <c r="AN30" s="59">
        <v>20.11779050001147</v>
      </c>
      <c r="AO30" s="59">
        <v>0.99652680118954906</v>
      </c>
    </row>
    <row r="31" spans="1:54" x14ac:dyDescent="0.25">
      <c r="H31" s="14">
        <v>0.4</v>
      </c>
      <c r="I31" s="13"/>
      <c r="J31" s="13"/>
      <c r="K31" s="30">
        <f>IF($E$16&gt;$D$7,IF($B$2*(1+$E$2)&lt;$R$2,$B$2*(1-K$19)+$B$2*$E$2*(1-K$19)+$L$2*$W$31*(K$19-$H31),$R$2*(1-K$19)+$L$2*$X$31*(K$19-$H31)),IF($E$16*(1-$O$2)&gt;$P$2,$E$16*(1-$O$2)-$P$2,0))</f>
        <v>63</v>
      </c>
      <c r="L31" s="30">
        <f>IF($E$16&gt;$D$8,IF($B$2*(1+$E$2)&lt;$R$2,$B$2*(1-L$19)+$B$2*$E$2*(1-L$19)+$L$2*$W$32*(L$19-$H31),$R$2*(1-L$19)+$L$2*$X$32*(L$19-$H31)),IF($E$16*(1-$O$2)&gt;$P$2,$E$16*(1-$O$2)-$P$2,0))</f>
        <v>63.125</v>
      </c>
      <c r="M31" s="30">
        <f>IF($E$16&gt;$D$9,IF($B$2*(1+$E$2)&lt;$R$2,$B$2*(1-M$19)+$B$2*$E$2*(1-M$19)+$L$2*$W$33*(M$19-$H31),$R$2*(1-M$19)+$L$2*$X$33*(M$19-$H31)),IF($E$16*(1-$O$2)&gt;$P$2,$E$16*(1-$O$2)-$P$2,0))</f>
        <v>63.177777777777777</v>
      </c>
      <c r="N31" s="32">
        <f t="shared" si="14"/>
        <v>63.179999999999993</v>
      </c>
      <c r="O31" s="12" t="s">
        <v>35</v>
      </c>
      <c r="P31" s="73">
        <f t="shared" ref="P31:U31" si="17">MAX($E$16-$P$2+$A$2*$D$2*$C$2,0)</f>
        <v>210.6</v>
      </c>
      <c r="Q31" s="73">
        <f t="shared" si="17"/>
        <v>210.6</v>
      </c>
      <c r="R31" s="73">
        <f t="shared" si="17"/>
        <v>210.6</v>
      </c>
      <c r="S31" s="73">
        <f t="shared" si="17"/>
        <v>210.6</v>
      </c>
      <c r="T31" s="73">
        <f t="shared" si="17"/>
        <v>210.6</v>
      </c>
      <c r="U31" s="73">
        <f t="shared" si="17"/>
        <v>210.6</v>
      </c>
      <c r="V31" s="14">
        <v>0.4</v>
      </c>
      <c r="W31" s="13">
        <f>R29/(1+$L$2*V31)</f>
        <v>105.85714285714286</v>
      </c>
      <c r="X31" s="13">
        <f>R$30/(1+$L$2*V31)</f>
        <v>105</v>
      </c>
      <c r="Y31" s="13">
        <f>R$31/(1+$L$2*V31)</f>
        <v>150.42857142857144</v>
      </c>
      <c r="AH31" s="58">
        <v>1</v>
      </c>
      <c r="AI31" s="59"/>
      <c r="AJ31" s="59"/>
      <c r="AK31" s="59"/>
      <c r="AL31" s="59"/>
      <c r="AM31" s="59"/>
      <c r="AN31" s="59"/>
      <c r="AO31" s="59">
        <v>0</v>
      </c>
    </row>
    <row r="32" spans="1:54" x14ac:dyDescent="0.25">
      <c r="H32" s="14">
        <v>0.6</v>
      </c>
      <c r="I32" s="13"/>
      <c r="J32" s="13"/>
      <c r="K32" s="13"/>
      <c r="L32" s="30">
        <f>IF($E$16&gt;$D$8,IF($B$2*(1+$E$2)&lt;$R$2,$B$2*(1-L$19)+$B$2*$E$2*(1-L$19)+$L$2*$W$32*(L$19-$H32),$R$2*(1-L$19)+$L$2*$X$32*(L$19-$H32)),IF($E$16*(1-$O$2)&gt;$P$2,$E$16*(1-$O$2)-$P$2,0))</f>
        <v>42</v>
      </c>
      <c r="M32" s="30">
        <f>IF($E$16&gt;$D$9,IF($B$2*(1+$E$2)&lt;$R$2,$B$2*(1-M$19)+$B$2*$E$2*(1-M$19)+$L$2*$W$33*(M$19-$H32),$R$2*(1-M$19)+$L$2*$X$33*(M$19-$H32)),IF($E$16*(1-$O$2)&gt;$P$2,$E$16*(1-$O$2)-$P$2,0))</f>
        <v>42.088888888888889</v>
      </c>
      <c r="N32" s="32">
        <f t="shared" si="14"/>
        <v>42.120000000000005</v>
      </c>
      <c r="O32" s="14">
        <v>0.6</v>
      </c>
      <c r="P32" s="73"/>
      <c r="Q32" s="73"/>
      <c r="R32" s="73"/>
      <c r="S32" s="73"/>
      <c r="T32" s="73"/>
      <c r="U32" s="73"/>
      <c r="V32" s="14">
        <v>0.6</v>
      </c>
      <c r="W32" s="13">
        <f>S29/(1+$L$2*V32)</f>
        <v>105.625</v>
      </c>
      <c r="X32" s="13">
        <f>S$30/(1+$L$2*V32)</f>
        <v>105.12499999999999</v>
      </c>
      <c r="Y32" s="13">
        <f>S$31/(1+$L$2*V32)</f>
        <v>131.625</v>
      </c>
    </row>
    <row r="33" spans="1:35" x14ac:dyDescent="0.25">
      <c r="H33" s="14">
        <v>0.8</v>
      </c>
      <c r="I33" s="13"/>
      <c r="J33" s="13"/>
      <c r="K33" s="13"/>
      <c r="L33" s="13"/>
      <c r="M33" s="30">
        <f>IF($E$16&gt;$D$9,IF($B$2*(1+$E$2)&lt;$R$2,$B$2*(1-M$19)+$B$2*$E$2*(1-M$19)+$L$2*$W$33*(M$19-$H33),$R$2*(1-M$19)+$L$2*$X$33*(M$19-$H33)),IF($E$16*(1-$O$2)&gt;$P$2,$E$16*(1-$O$2)-$P$2,0))</f>
        <v>20.999999999999996</v>
      </c>
      <c r="N33" s="32">
        <f t="shared" si="14"/>
        <v>21.059999999999995</v>
      </c>
      <c r="O33" s="14">
        <v>0.8</v>
      </c>
      <c r="P33" s="73"/>
      <c r="Q33" s="73"/>
      <c r="R33" s="73"/>
      <c r="S33" s="73"/>
      <c r="T33" s="73"/>
      <c r="U33" s="73"/>
      <c r="V33" s="14">
        <v>0.8</v>
      </c>
      <c r="W33" s="13">
        <f>T29/(1+$L$2*V33)</f>
        <v>105.44444444444443</v>
      </c>
      <c r="X33" s="13">
        <f>T$30/(1+$L$2*V33)</f>
        <v>105.22222222222223</v>
      </c>
      <c r="Y33" s="13">
        <f>T$31/(1+$L$2*V33)</f>
        <v>117</v>
      </c>
    </row>
    <row r="34" spans="1:35" x14ac:dyDescent="0.25">
      <c r="H34" s="14">
        <v>1</v>
      </c>
      <c r="I34" s="13"/>
      <c r="J34" s="13"/>
      <c r="K34" s="13"/>
      <c r="L34" s="13"/>
      <c r="M34" s="13"/>
      <c r="N34" s="32">
        <f t="shared" si="14"/>
        <v>0</v>
      </c>
      <c r="O34" s="14">
        <v>1</v>
      </c>
      <c r="P34" s="73"/>
      <c r="Q34" s="73"/>
      <c r="R34" s="73"/>
      <c r="S34" s="73"/>
      <c r="T34" s="73"/>
      <c r="U34" s="73"/>
      <c r="V34" s="14">
        <v>1</v>
      </c>
      <c r="W34" s="13">
        <f>U29/(1+$L$2*V34)</f>
        <v>105.3</v>
      </c>
      <c r="X34" s="13">
        <f>U$30/(1+$L$2*V34)</f>
        <v>105.3</v>
      </c>
      <c r="Y34" s="13">
        <f>U$31/(1+$L$2*V34)</f>
        <v>105.3</v>
      </c>
    </row>
    <row r="35" spans="1:35" x14ac:dyDescent="0.25">
      <c r="G35" s="5"/>
      <c r="H35" s="5"/>
      <c r="I35" s="29"/>
      <c r="J35" s="29"/>
      <c r="K35" s="29"/>
      <c r="L35" s="29"/>
      <c r="M35" s="29"/>
      <c r="N35" s="29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43" t="s">
        <v>43</v>
      </c>
      <c r="AC35" s="44">
        <v>0</v>
      </c>
      <c r="AD35" s="44">
        <v>0.2</v>
      </c>
      <c r="AE35" s="44">
        <v>0.4</v>
      </c>
      <c r="AF35" s="44">
        <v>0.6</v>
      </c>
      <c r="AG35" s="44">
        <v>0.8</v>
      </c>
      <c r="AH35" s="44">
        <v>0.81399999999999995</v>
      </c>
      <c r="AI35" s="44">
        <v>1</v>
      </c>
    </row>
    <row r="36" spans="1:35" x14ac:dyDescent="0.25">
      <c r="G36" s="5"/>
      <c r="H36" s="5" t="s">
        <v>19</v>
      </c>
      <c r="I36" s="15">
        <v>0</v>
      </c>
      <c r="J36" s="15">
        <v>0.2</v>
      </c>
      <c r="K36" s="15">
        <v>0.4</v>
      </c>
      <c r="L36" s="15">
        <v>0.6</v>
      </c>
      <c r="M36" s="15">
        <v>0.8</v>
      </c>
      <c r="N36" s="15">
        <v>0.81</v>
      </c>
      <c r="O36" s="15">
        <v>1</v>
      </c>
      <c r="P36" s="15" t="s">
        <v>14</v>
      </c>
      <c r="Q36" s="15">
        <v>0</v>
      </c>
      <c r="R36" s="15">
        <v>0.2</v>
      </c>
      <c r="S36" s="15">
        <v>0.4</v>
      </c>
      <c r="T36" s="15">
        <v>0.6</v>
      </c>
      <c r="U36" s="15">
        <v>0.8</v>
      </c>
      <c r="V36" s="15">
        <v>0.81</v>
      </c>
      <c r="W36" s="15">
        <v>1</v>
      </c>
      <c r="X36" s="5" t="s">
        <v>15</v>
      </c>
      <c r="Y36" s="14" t="s">
        <v>33</v>
      </c>
      <c r="Z36" s="13" t="s">
        <v>34</v>
      </c>
      <c r="AA36" s="13" t="s">
        <v>35</v>
      </c>
      <c r="AB36" s="43" t="s">
        <v>44</v>
      </c>
      <c r="AC36" s="43">
        <f t="shared" ref="AC36:AI38" si="18">IF(Q37&gt;0,$P$2,MIN((1-$O$2)*$E$20,$P$2))</f>
        <v>101.0644288190328</v>
      </c>
      <c r="AD36" s="43">
        <f t="shared" si="18"/>
        <v>101.0644288190328</v>
      </c>
      <c r="AE36" s="43">
        <f t="shared" si="18"/>
        <v>101.0644288190328</v>
      </c>
      <c r="AF36" s="43">
        <f t="shared" si="18"/>
        <v>101.0644288190328</v>
      </c>
      <c r="AG36" s="43">
        <f t="shared" si="18"/>
        <v>101.0644288190328</v>
      </c>
      <c r="AH36" s="43">
        <f t="shared" si="18"/>
        <v>108</v>
      </c>
      <c r="AI36" s="43">
        <f t="shared" si="18"/>
        <v>108</v>
      </c>
    </row>
    <row r="37" spans="1:35" x14ac:dyDescent="0.25">
      <c r="H37" s="15">
        <v>0</v>
      </c>
      <c r="I37" s="32">
        <f>IF($E$20&gt;$D$5,IF($B$2*(1+$E$2)&lt;$R$2,$B$2*(1-I$28)+$B$2*$E$2*(1-I$28)+$L$2*$Y37*(I$28-$H37),$R$2*(1-I$28)+$L$2*$Z37*(I$28-$H37)),IF($E$20*(1-$O$2)&gt;$P$2,$E$20*(1-$O$2)-$P$2,0))</f>
        <v>0</v>
      </c>
      <c r="J37" s="30">
        <f>IF($E$20&gt;$D$6,IF($B$2*(1+$E$2)&lt;$R$2,$B$2*(1-J$28)+$B$2*$E$2*(1-J$28)+$L$2*$Y$38*(J$28-$H37),$R$2*(1-J$28)+$L$2*$Z$38*(J$28-$H37)),IF($E$20*(1-$O$2)&gt;$P$2,$E$20*(1-$O$2)-$P$2,0))</f>
        <v>0</v>
      </c>
      <c r="K37" s="30">
        <f>IF($E$20&gt;$D$7,IF($B$2*(1+$E$2)&lt;$R$2,$B$2*(1-K$19)+$B$2*$E$2*(1-K$19)+$L$2*$Y$38*(K$19-$H37),$R$2*(1-K$19)+$L$2*$Z$38*(K$19-$H37)),IF($E$20*(1-$O$2)&gt;$P$2,$E$20*(1-$O$2)-$P$2,0))</f>
        <v>0</v>
      </c>
      <c r="L37" s="30">
        <f>IF($E$20&gt;$D$8,IF($B$2*(1+$E$2)&lt;$R$2,$B$2*(1-L$19)+$B$2*$E$2*(1-L$19)+$L$2*$Y$39*(L$19-$H37),$R$2*(1-L$19)+$L$2*$Z$39*(L$19-$H37)),IF($E$20*(1-$O$2)&gt;$P$2,$E$20*(1-$O$2)-$P$2,0))</f>
        <v>0</v>
      </c>
      <c r="M37" s="30">
        <f>IF($E$20&gt;$D$9,IF($B$2*(1+$E$2)&lt;$R$2,$B$2*(1-M$19)+$B$2*$E$2*(1-M$19)+$L$2*$Y$41*(M$19-$H37),$R$2*(1-M$19)+$L$2*$Z$41*(M$19-$H37)),IF($E$20*(1-$O$2)&gt;$P$2,$E$20*(1-$O$2)-$P$2,0))</f>
        <v>0</v>
      </c>
      <c r="N37" s="30">
        <f>IF($E$20&gt;$D$11,IF($B$2*(1+$E$2)&lt;$R$2,$B$2*(1-$N$36)+$B$2*$E$2*(1-$N$36)+$L$2*$Y$42*($N$36-$H37),$R$2*(1-$N$36)+$L$2*$Z$42*($N$36-$H37)),IF($E$20*(1-$O$2)&gt;$P$2,$E$20*(1-$O$2)-$P$2,0))</f>
        <v>20.026317226116404</v>
      </c>
      <c r="O37" s="30">
        <f t="shared" ref="O37:O43" si="19">IF($E$20&gt;$D$10,IF($B$2*(1+$E$2)&lt;$R$2,$B$2*(1-N$19)+$B$2*$E$2*(1-N$19)+$L$2*$Y$43*(N$19-$H37),$R$2*(1-N$19)+$L$2*$Z$43*(N$19-$H37)),IF($E$20*(1-$O$2)&gt;$P$2,$E$20*(1-$O$2)-$P$2,0))</f>
        <v>9.9652680118954926</v>
      </c>
      <c r="P37" s="12" t="s">
        <v>33</v>
      </c>
      <c r="Q37" s="30">
        <f t="shared" ref="Q37:U37" si="20">MAX($E$20-$P$2+$A$2*$D$2*$C$2-$B$2*(1-Q36)-$B$2*(1-Q36)*(1-$C$2)*$E$2,0)</f>
        <v>0</v>
      </c>
      <c r="R37" s="30">
        <f t="shared" si="20"/>
        <v>0</v>
      </c>
      <c r="S37" s="30">
        <f t="shared" si="20"/>
        <v>0</v>
      </c>
      <c r="T37" s="30">
        <f t="shared" si="20"/>
        <v>0</v>
      </c>
      <c r="U37" s="30">
        <f t="shared" si="20"/>
        <v>0</v>
      </c>
      <c r="V37" s="30">
        <f>MAX($E$20-$P$2+$A$2*$D$2*$C$2-$B$2*(1-V36)-$B$2*(1-V36)*(1-$C$2)*$E$2,0)</f>
        <v>0.17053602379099253</v>
      </c>
      <c r="W37" s="30">
        <f>MAX($E$20-$P$2+$A$2*$D$2*$C$2-$B$2*(1-W36)-$B$2*(1-W36)*(1-$C$2)*$E$2,0)</f>
        <v>19.930536023790985</v>
      </c>
      <c r="X37" s="15">
        <v>0</v>
      </c>
      <c r="Y37" s="28">
        <f>Q37/(1+$L$2*X37)</f>
        <v>0</v>
      </c>
      <c r="Z37" s="144">
        <f>Q$38/(1+$L$2*X37)</f>
        <v>0</v>
      </c>
      <c r="AA37" s="5">
        <f>Q$39/(1+$L$2*X37)</f>
        <v>19.930536023790985</v>
      </c>
      <c r="AB37" s="43" t="s">
        <v>45</v>
      </c>
      <c r="AC37" s="43">
        <f t="shared" si="18"/>
        <v>101.0644288190328</v>
      </c>
      <c r="AD37" s="43">
        <f t="shared" si="18"/>
        <v>101.0644288190328</v>
      </c>
      <c r="AE37" s="43">
        <f t="shared" si="18"/>
        <v>101.0644288190328</v>
      </c>
      <c r="AF37" s="43">
        <f t="shared" si="18"/>
        <v>101.0644288190328</v>
      </c>
      <c r="AG37" s="43">
        <f t="shared" si="18"/>
        <v>101.0644288190328</v>
      </c>
      <c r="AH37" s="43">
        <f t="shared" si="18"/>
        <v>101.0644288190328</v>
      </c>
      <c r="AI37" s="43">
        <f t="shared" si="18"/>
        <v>108</v>
      </c>
    </row>
    <row r="38" spans="1:35" x14ac:dyDescent="0.25">
      <c r="H38" s="15">
        <v>0.2</v>
      </c>
      <c r="I38" s="22"/>
      <c r="J38" s="30">
        <f>IF($E$20&gt;$D$6,IF($B$2*(1+$E$2)&lt;$R$2,$B$2*(1-J$28)+$B$2*$E$2*(1-J$28)+$L$2*$Y$38*(J$28-$H38),$R$2*(1-J$28)+$L$2*$Z$38*(J$28-$H38)),IF($E$20*(1-$O$2)&gt;$P$2,$E$20*(1-$O$2)-$P$2,0))</f>
        <v>0</v>
      </c>
      <c r="K38" s="30">
        <f>IF($E$20&gt;$D$7,IF($B$2*(1+$E$2)&lt;$R$2,$B$2*(1-K$19)+$B$2*$E$2*(1-K$19)+$L$2*$Y$38*(K$19-$H38),$R$2*(1-K$19)+$L$2*$Z$38*(K$19-$H38)),IF($E$20*(1-$O$2)&gt;$P$2,$E$20*(1-$O$2)-$P$2,0))</f>
        <v>0</v>
      </c>
      <c r="L38" s="30">
        <f>IF($E$20&gt;$D$8,IF($B$2*(1+$E$2)&lt;$R$2,$B$2*(1-L$19)+$B$2*$E$2*(1-L$19)+$L$2*$Y$39*(L$19-$H38),$R$2*(1-L$19)+$L$2*$Z$39*(L$19-$H38)),IF($E$20*(1-$O$2)&gt;$P$2,$E$20*(1-$O$2)-$P$2,0))</f>
        <v>0</v>
      </c>
      <c r="M38" s="30">
        <f>IF($E$20&gt;$D$9,IF($B$2*(1+$E$2)&lt;$R$2,$B$2*(1-M$19)+$B$2*$E$2*(1-M$19)+$L$2*$Y$41*(M$19-$H38),$R$2*(1-M$19)+$L$2*$Z$41*(M$19-$H38)),IF($E$20*(1-$O$2)&gt;$P$2,$E$20*(1-$O$2)-$P$2,0))</f>
        <v>0</v>
      </c>
      <c r="N38" s="30">
        <f t="shared" ref="N38:N41" si="21">IF($E$20&gt;$D$11,IF($B$2*(1+$E$2)&lt;$R$2,$B$2*(1-$N$36)+$B$2*$E$2*(1-$N$36)+$L$2*$Y$42*($N$36-$H38),$R$2*(1-$N$36)+$L$2*$Z$42*($N$36-$H38)),IF($E$20*(1-$O$2)&gt;$P$2,$E$20*(1-$O$2)-$P$2,0))</f>
        <v>20.007473466581487</v>
      </c>
      <c r="O38" s="30">
        <f t="shared" si="19"/>
        <v>7.9722144095163943</v>
      </c>
      <c r="P38" s="12" t="s">
        <v>34</v>
      </c>
      <c r="Q38" s="70">
        <f t="shared" ref="Q38:U38" si="22">MAX($E$20-$P$2+$A$2*$D$2*$C$2-$R$2*(1-Q$36),0)</f>
        <v>0</v>
      </c>
      <c r="R38" s="70">
        <f t="shared" si="22"/>
        <v>0</v>
      </c>
      <c r="S38" s="70">
        <f t="shared" si="22"/>
        <v>0</v>
      </c>
      <c r="T38" s="70">
        <f t="shared" si="22"/>
        <v>0</v>
      </c>
      <c r="U38" s="70">
        <f t="shared" si="22"/>
        <v>0</v>
      </c>
      <c r="V38" s="70">
        <f>MAX($E$20-$P$2+$A$2*$D$2*$C$2-$R$2*(1-V$36),0)</f>
        <v>0</v>
      </c>
      <c r="W38" s="70">
        <f>MAX($E$20-$P$2+$A$2*$D$2*$C$2-$R$2*(1-W$36),0)</f>
        <v>19.930536023790985</v>
      </c>
      <c r="X38" s="15">
        <v>0.2</v>
      </c>
      <c r="Y38" s="28">
        <f>R37/(1+$L$2*X38)</f>
        <v>0</v>
      </c>
      <c r="Z38" s="144">
        <f>R$38/(1+$L$2*X38)</f>
        <v>0</v>
      </c>
      <c r="AA38" s="5">
        <f>R$39/(1+$L$2*X38)</f>
        <v>16.608780019825822</v>
      </c>
      <c r="AB38" s="43" t="s">
        <v>42</v>
      </c>
      <c r="AC38" s="43">
        <f t="shared" si="18"/>
        <v>108</v>
      </c>
      <c r="AD38" s="43">
        <f t="shared" si="18"/>
        <v>108</v>
      </c>
      <c r="AE38" s="43">
        <f t="shared" si="18"/>
        <v>108</v>
      </c>
      <c r="AF38" s="43">
        <f t="shared" si="18"/>
        <v>108</v>
      </c>
      <c r="AG38" s="43">
        <f t="shared" si="18"/>
        <v>108</v>
      </c>
      <c r="AH38" s="43">
        <f t="shared" si="18"/>
        <v>108</v>
      </c>
      <c r="AI38" s="43">
        <f t="shared" si="18"/>
        <v>108</v>
      </c>
    </row>
    <row r="39" spans="1:35" x14ac:dyDescent="0.25">
      <c r="H39" s="15">
        <v>0.4</v>
      </c>
      <c r="I39" s="22"/>
      <c r="J39" s="22"/>
      <c r="K39" s="30">
        <f>IF($E$20&gt;$D$7,IF($B$2*(1+$E$2)&lt;$R$2,$B$2*(1-K$19)+$B$2*$E$2*(1-K$19)+$L$2*$Y$38*(K$19-$H39),$R$2*(1-K$19)+$L$2*$Z$38*(K$19-$H39)),IF($E$20*(1-$O$2)&gt;$P$2,$E$20*(1-$O$2)-$P$2,0))</f>
        <v>0</v>
      </c>
      <c r="L39" s="30">
        <f>IF($E$20&gt;$D$8,IF($B$2*(1+$E$2)&lt;$R$2,$B$2*(1-L$19)+$B$2*$E$2*(1-L$19)+$L$2*$Y$39*(L$19-$H39),$R$2*(1-L$19)+$L$2*$Z$39*(L$19-$H39)),IF($E$20*(1-$O$2)&gt;$P$2,$E$20*(1-$O$2)-$P$2,0))</f>
        <v>0</v>
      </c>
      <c r="M39" s="30">
        <f>IF($E$20&gt;$D$9,IF($B$2*(1+$E$2)&lt;$R$2,$B$2*(1-M$19)+$B$2*$E$2*(1-M$19)+$L$2*$Y$41*(M$19-$H39),$R$2*(1-M$19)+$L$2*$Z$41*(M$19-$H39)),IF($E$20*(1-$O$2)&gt;$P$2,$E$20*(1-$O$2)-$P$2,0))</f>
        <v>0</v>
      </c>
      <c r="N39" s="30">
        <f t="shared" si="21"/>
        <v>19.98862970704657</v>
      </c>
      <c r="O39" s="30">
        <f t="shared" si="19"/>
        <v>5.979160807137295</v>
      </c>
      <c r="P39" s="12" t="s">
        <v>35</v>
      </c>
      <c r="Q39" s="70">
        <f t="shared" ref="Q39:W39" si="23">MAX($E$20-$P$2+$A$2*$D$2*$C$2,0)</f>
        <v>19.930536023790985</v>
      </c>
      <c r="R39" s="70">
        <f t="shared" si="23"/>
        <v>19.930536023790985</v>
      </c>
      <c r="S39" s="70">
        <f t="shared" si="23"/>
        <v>19.930536023790985</v>
      </c>
      <c r="T39" s="70">
        <f t="shared" si="23"/>
        <v>19.930536023790985</v>
      </c>
      <c r="U39" s="70">
        <f t="shared" si="23"/>
        <v>19.930536023790985</v>
      </c>
      <c r="V39" s="70">
        <f t="shared" si="23"/>
        <v>19.930536023790985</v>
      </c>
      <c r="W39" s="70">
        <f t="shared" si="23"/>
        <v>19.930536023790985</v>
      </c>
      <c r="X39" s="15">
        <v>0.4</v>
      </c>
      <c r="Y39" s="28">
        <f>S37/(1+$L$2*X39)</f>
        <v>0</v>
      </c>
      <c r="Z39" s="144">
        <f>S$38/(1+$L$2*X39)</f>
        <v>0</v>
      </c>
      <c r="AA39" s="5">
        <f>S$39/(1+$L$2*X39)</f>
        <v>14.236097159850704</v>
      </c>
    </row>
    <row r="40" spans="1:35" x14ac:dyDescent="0.25">
      <c r="H40" s="15">
        <v>0.6</v>
      </c>
      <c r="I40" s="5"/>
      <c r="J40" s="5"/>
      <c r="K40" s="5"/>
      <c r="L40" s="30">
        <f>IF($E$20&gt;$D$8,IF($B$2*(1+$E$2)&lt;$R$2,$B$2*(1-L$19)+$B$2*$E$2*(1-L$19)+$L$2*$Y$39*(L$19-$H40),$R$2*(1-L$19)+$L$2*$Z$39*(L$19-$H40)),IF($E$20*(1-$O$2)&gt;$P$2,$E$20*(1-$O$2)-$P$2,0))</f>
        <v>0</v>
      </c>
      <c r="M40" s="30">
        <f>IF($E$20&gt;$D$9,IF($B$2*(1+$E$2)&lt;$R$2,$B$2*(1-M$19)+$B$2*$E$2*(1-M$19)+$L$2*$Y$41*(M$19-$H40),$R$2*(1-M$19)+$L$2*$Z$41*(M$19-$H40)),IF($E$20*(1-$O$2)&gt;$P$2,$E$20*(1-$O$2)-$P$2,0))</f>
        <v>0</v>
      </c>
      <c r="N40" s="30">
        <f t="shared" si="21"/>
        <v>19.969785947511653</v>
      </c>
      <c r="O40" s="30">
        <f t="shared" si="19"/>
        <v>3.9861072047581971</v>
      </c>
      <c r="P40" s="15"/>
      <c r="Q40" s="70"/>
      <c r="R40" s="70"/>
      <c r="S40" s="70"/>
      <c r="T40" s="70"/>
      <c r="U40" s="70"/>
      <c r="V40" s="70"/>
      <c r="W40" s="70"/>
      <c r="X40" s="15">
        <v>0.6</v>
      </c>
      <c r="Y40" s="28">
        <f>T37/(1+$L$2*X40)</f>
        <v>0</v>
      </c>
      <c r="Z40" s="144">
        <f>T$38/(1+$L$2*X40)</f>
        <v>0</v>
      </c>
      <c r="AA40" s="5">
        <f>T$39/(1+$L$2*X40)</f>
        <v>12.456585014869365</v>
      </c>
    </row>
    <row r="41" spans="1:35" x14ac:dyDescent="0.25">
      <c r="H41" s="15">
        <v>0.8</v>
      </c>
      <c r="I41" s="5"/>
      <c r="J41" s="5"/>
      <c r="K41" s="5"/>
      <c r="L41" s="5"/>
      <c r="M41" s="30">
        <f>IF($E$20&gt;$D$9,IF($B$2*(1+$E$2)&lt;$R$2,$B$2*(1-M$19)+$B$2*$E$2*(1-M$19)+$L$2*$Y$41*(M$19-$H41),$R$2*(1-M$19)+$L$2*$Z$41*(M$19-$H41)),IF($E$20*(1-$O$2)&gt;$P$2,$E$20*(1-$O$2)-$P$2,0))</f>
        <v>0</v>
      </c>
      <c r="N41" s="30">
        <f t="shared" si="21"/>
        <v>19.950942187976739</v>
      </c>
      <c r="O41" s="30">
        <f t="shared" si="19"/>
        <v>1.9930536023790981</v>
      </c>
      <c r="P41" s="15"/>
      <c r="Q41" s="70"/>
      <c r="R41" s="70"/>
      <c r="S41" s="70"/>
      <c r="T41" s="70"/>
      <c r="U41" s="70"/>
      <c r="V41" s="70"/>
      <c r="W41" s="70"/>
      <c r="X41" s="15">
        <v>0.8</v>
      </c>
      <c r="Y41" s="28">
        <f>U37/(1+$L$2*X41)</f>
        <v>0</v>
      </c>
      <c r="Z41" s="144">
        <f>U$38/(1+$L$2*X41)</f>
        <v>0</v>
      </c>
      <c r="AA41" s="5">
        <f>U$39/(1+$L$2*X41)</f>
        <v>11.072520013217213</v>
      </c>
    </row>
    <row r="42" spans="1:35" x14ac:dyDescent="0.25">
      <c r="H42" s="15">
        <v>0.81</v>
      </c>
      <c r="I42" s="5"/>
      <c r="J42" s="5"/>
      <c r="K42" s="5"/>
      <c r="L42" s="5"/>
      <c r="M42" s="30"/>
      <c r="N42" s="30">
        <f>IF($E$20&gt;$D$11,IF($B$2*(1+$E$2)&lt;$R$2,$B$2*(1-$N$36)+$B$2*$E$2*(1-$N$36)+$L$2*$Y$42*($N$36-$H42),$R$2*(1-$N$36)+$L$2*$Z$42*($N$36-$H42)),IF($E$20*(1-$O$2)&gt;$P$2,$E$20*(1-$O$2)-$P$2,0))</f>
        <v>19.949999999999992</v>
      </c>
      <c r="O42" s="30">
        <f t="shared" si="19"/>
        <v>1.8934009222601431</v>
      </c>
      <c r="P42" s="15"/>
      <c r="Q42" s="70"/>
      <c r="R42" s="70"/>
      <c r="S42" s="70"/>
      <c r="T42" s="70"/>
      <c r="U42" s="70"/>
      <c r="V42" s="70"/>
      <c r="W42" s="70"/>
      <c r="X42" s="15">
        <v>0.81</v>
      </c>
      <c r="Y42" s="28">
        <f>V37/(1+$L$2*X42)</f>
        <v>9.4218797674581509E-2</v>
      </c>
      <c r="Z42" s="144">
        <f>V38/(1+$L$2*X42)</f>
        <v>0</v>
      </c>
      <c r="AA42" s="5">
        <f>V39/(1+$L$2*X42)</f>
        <v>11.011345869497781</v>
      </c>
    </row>
    <row r="43" spans="1:35" x14ac:dyDescent="0.25">
      <c r="H43" s="15">
        <v>1</v>
      </c>
      <c r="I43" s="5"/>
      <c r="J43" s="5"/>
      <c r="K43" s="5"/>
      <c r="L43" s="5"/>
      <c r="M43" s="5"/>
      <c r="N43" s="5"/>
      <c r="O43" s="30">
        <f t="shared" si="19"/>
        <v>0</v>
      </c>
      <c r="Q43" s="3"/>
      <c r="X43" s="15">
        <v>1</v>
      </c>
      <c r="Y43" s="28">
        <f>W37/(1+$L$2*X43)</f>
        <v>9.9652680118954926</v>
      </c>
      <c r="Z43" s="144">
        <f>W$38/(1+$L$2*X43)</f>
        <v>9.9652680118954926</v>
      </c>
      <c r="AA43" s="5">
        <f>W$39/(1+$L$2*X43)</f>
        <v>9.9652680118954926</v>
      </c>
    </row>
    <row r="44" spans="1:35" x14ac:dyDescent="0.25">
      <c r="A44" s="16" t="s">
        <v>20</v>
      </c>
      <c r="B44" s="16"/>
      <c r="C44" s="16"/>
      <c r="D44" s="16"/>
      <c r="E44" s="16"/>
      <c r="F44" s="16"/>
      <c r="G44" s="16"/>
      <c r="N44" s="30"/>
    </row>
    <row r="45" spans="1:35" x14ac:dyDescent="0.25">
      <c r="A45" s="16"/>
      <c r="B45" s="16"/>
      <c r="C45" s="16"/>
      <c r="D45" s="16"/>
      <c r="E45" s="16"/>
      <c r="F45" s="16"/>
      <c r="G45" s="16"/>
    </row>
    <row r="46" spans="1:35" x14ac:dyDescent="0.25">
      <c r="A46" s="36"/>
      <c r="B46" s="16"/>
      <c r="C46" s="16"/>
      <c r="D46" s="16"/>
      <c r="E46" s="16"/>
      <c r="F46" s="16"/>
      <c r="G46" s="16"/>
    </row>
    <row r="47" spans="1:35" x14ac:dyDescent="0.25">
      <c r="A47" s="16" t="s">
        <v>13</v>
      </c>
      <c r="B47" s="17">
        <v>0</v>
      </c>
      <c r="C47" s="17">
        <v>0.2</v>
      </c>
      <c r="D47" s="17">
        <v>0.4</v>
      </c>
      <c r="E47" s="17">
        <v>0.6</v>
      </c>
      <c r="F47" s="17">
        <v>0.8</v>
      </c>
      <c r="G47" s="17">
        <v>1</v>
      </c>
      <c r="H47" s="16" t="s">
        <v>14</v>
      </c>
      <c r="I47" s="17">
        <v>0</v>
      </c>
      <c r="J47" s="17">
        <v>0.2</v>
      </c>
      <c r="K47" s="17">
        <v>0.4</v>
      </c>
      <c r="L47" s="17">
        <v>0.6</v>
      </c>
      <c r="M47" s="17">
        <v>0.8</v>
      </c>
      <c r="N47" s="17">
        <v>1</v>
      </c>
    </row>
    <row r="48" spans="1:35" x14ac:dyDescent="0.25">
      <c r="A48" s="16"/>
      <c r="B48" s="16">
        <f>($J$2*AF11+$K$2*AU3)*EXP(-$M$2*$N$2)</f>
        <v>112.55145318464687</v>
      </c>
      <c r="C48" s="16">
        <f>($J$2*AF12+$K$2*AV4)*EXP(-$M$2*$N$2)</f>
        <v>90.033839982647507</v>
      </c>
      <c r="D48" s="16">
        <f>($J$2*AF13+$K$2*AW5)*EXP(-$M$2*$N$2)</f>
        <v>67.520986447943613</v>
      </c>
      <c r="E48" s="16">
        <f>($J$2*AF14+$K$2*AX6)*EXP(-$M$2*$N$2)</f>
        <v>45.013990965295747</v>
      </c>
      <c r="F48" s="16">
        <f>($J$2*AF15+$K$2*AY7)*EXP(-$M$2*$N$2)</f>
        <v>22.506995482647874</v>
      </c>
      <c r="G48" s="16">
        <f>($J$2*AF16+$K$2*AZ8)*EXP(-$M$2*$N$2)+$B$2*(1-G47)*$E$2</f>
        <v>0</v>
      </c>
      <c r="H48" s="16" t="s">
        <v>41</v>
      </c>
      <c r="I48" s="42">
        <f>(X16*(1+$L$2*I47)*$J$2+AQ3*(1+$L$2*I47)*$K$2)*EXP(-$M$2*$N$2)</f>
        <v>104.65698415772665</v>
      </c>
      <c r="J48" s="16">
        <f>(X16*(1+$L$2*J47)*$J$2+AQ4*(1+$L$2*J47)*$K$2)*EXP(-$M$2*$N$2)</f>
        <v>127.02742316067035</v>
      </c>
      <c r="K48" s="16">
        <f>(X16*(1+$L$2*K47)*$J$2+AQ5*(1+$L$2*K47)*$K$2)*EXP(-$M$2*$N$2)</f>
        <v>149.39310249631856</v>
      </c>
      <c r="L48" s="16">
        <f>(X16*(1+$L$2*L47)*$J$2+AQ6*(1+$L$2*L47)*$K$2)*EXP(-$M$2*$N$2)</f>
        <v>171.79685917033083</v>
      </c>
      <c r="M48" s="16">
        <f>(X16*(1+$L$2*M47)*$J$2+AQ7*(1+$L$2*M47)*$K$2)*EXP(-$M$2*$N$2)</f>
        <v>194.20061584434302</v>
      </c>
      <c r="N48" s="16">
        <f>(X16*(1+$L$2*N47)*$J$2+AQ8*(1+$L$2*N47)*$K$2)*EXP(-$M$2*$N$2)</f>
        <v>216.60437251835523</v>
      </c>
    </row>
    <row r="49" spans="1:14" x14ac:dyDescent="0.25">
      <c r="A49" s="16"/>
      <c r="B49" s="17"/>
      <c r="C49" s="17"/>
      <c r="D49" s="17"/>
      <c r="E49" s="17"/>
      <c r="F49" s="17"/>
      <c r="G49" s="17"/>
      <c r="H49" s="16" t="s">
        <v>40</v>
      </c>
      <c r="I49" s="16">
        <f>(Y11*(1+$L$2*I47)*$J$2+AS3*(1+$L$2*I47)*$K$2)*EXP(-$M$2*$N$2)-$R$2*(1-I47)</f>
        <v>110.60437251835523</v>
      </c>
      <c r="J49" s="16">
        <f>(Y12*(1+$L$2*J47)*$J$2+AS4*(1+$L$2*J47)*$K$2)*EXP(-$M$2*$N$2)-$R$2*(1-J47)</f>
        <v>131.80437251835522</v>
      </c>
      <c r="K49" s="16">
        <f>(Y13*(1+$L$2*K47)*$J$2+AS5*(1+$L$2*K47)*$K$2)*EXP(-$M$2*$N$2)-$R$2*(1-K47)</f>
        <v>153.00437251835524</v>
      </c>
      <c r="L49" s="16">
        <f>(Y14*(1+$L$2*L47)*$J$2+AS6*(1+$L$2*L47)*$K$2)*EXP(-$M$2*$N$2)-$R$2*(1-L47)</f>
        <v>174.20437251835526</v>
      </c>
      <c r="M49" s="16">
        <f>(Y15*(1+$L$2*M47)*$J$2+AS7*(1+$L$2*M47)*$K$2)*EXP(-$M$2*$N$2)-$R$2*(1-M47)</f>
        <v>195.40437251835525</v>
      </c>
      <c r="N49" s="16">
        <f>(Y16*(1+$L$2*N47)*$J$2+AS8*(1+$L$2*N47)*$K$2)*EXP(-$M$2*$N$2)-$R$2*(1-N47)</f>
        <v>216.60437251835523</v>
      </c>
    </row>
    <row r="50" spans="1:14" x14ac:dyDescent="0.25">
      <c r="A50" s="16"/>
      <c r="B50" s="16"/>
      <c r="C50" s="16"/>
      <c r="D50" s="16"/>
      <c r="E50" s="16"/>
      <c r="F50" s="16"/>
      <c r="G50" s="16"/>
      <c r="H50" s="16" t="s">
        <v>15</v>
      </c>
      <c r="I50" s="17">
        <v>0</v>
      </c>
      <c r="J50" s="17">
        <v>0.2</v>
      </c>
      <c r="K50" s="17">
        <v>0.4</v>
      </c>
      <c r="L50" s="17">
        <v>0.6</v>
      </c>
      <c r="M50" s="17">
        <v>0.8</v>
      </c>
      <c r="N50" s="17">
        <v>1</v>
      </c>
    </row>
    <row r="51" spans="1:14" x14ac:dyDescent="0.25">
      <c r="A51" s="16"/>
      <c r="B51" s="17"/>
      <c r="C51" s="17"/>
      <c r="D51" s="17"/>
      <c r="E51" s="17"/>
      <c r="F51" s="17"/>
      <c r="G51" s="17"/>
      <c r="H51" s="16" t="s">
        <v>41</v>
      </c>
      <c r="I51" s="42">
        <f t="shared" ref="I51:N51" si="24">I48/(1+I50*$L$2)</f>
        <v>104.65698415772665</v>
      </c>
      <c r="J51" s="16">
        <f t="shared" si="24"/>
        <v>105.8561859672253</v>
      </c>
      <c r="K51" s="16">
        <f t="shared" si="24"/>
        <v>106.70935892594184</v>
      </c>
      <c r="L51" s="16">
        <f t="shared" si="24"/>
        <v>107.37303698145676</v>
      </c>
      <c r="M51" s="16">
        <f t="shared" si="24"/>
        <v>107.88923102463501</v>
      </c>
      <c r="N51" s="16">
        <f t="shared" si="24"/>
        <v>108.30218625917762</v>
      </c>
    </row>
    <row r="52" spans="1:14" x14ac:dyDescent="0.25">
      <c r="A52" s="16"/>
      <c r="B52" s="16"/>
      <c r="C52" s="16"/>
      <c r="D52" s="16"/>
      <c r="E52" s="16"/>
      <c r="F52" s="16"/>
      <c r="G52" s="16"/>
      <c r="H52" s="16" t="s">
        <v>40</v>
      </c>
      <c r="I52" s="16">
        <f t="shared" ref="I52:N52" si="25">I49/(1+I50*$L$2)</f>
        <v>110.60437251835523</v>
      </c>
      <c r="J52" s="16">
        <f t="shared" si="25"/>
        <v>109.83697709862936</v>
      </c>
      <c r="K52" s="16">
        <f t="shared" si="25"/>
        <v>109.28883751311089</v>
      </c>
      <c r="L52" s="16">
        <f t="shared" si="25"/>
        <v>108.87773282397202</v>
      </c>
      <c r="M52" s="16">
        <f t="shared" si="25"/>
        <v>108.55798473241958</v>
      </c>
      <c r="N52" s="16">
        <f t="shared" si="25"/>
        <v>108.30218625917762</v>
      </c>
    </row>
    <row r="53" spans="1:14" x14ac:dyDescent="0.25">
      <c r="A53" s="16" t="s">
        <v>19</v>
      </c>
      <c r="B53" s="17">
        <v>0</v>
      </c>
      <c r="C53" s="17">
        <v>0.2</v>
      </c>
      <c r="D53" s="17">
        <v>0.4</v>
      </c>
      <c r="E53" s="17">
        <v>0.6</v>
      </c>
      <c r="F53" s="17">
        <v>0.8</v>
      </c>
      <c r="G53" s="17">
        <v>1</v>
      </c>
      <c r="H53" s="51" t="s">
        <v>43</v>
      </c>
      <c r="I53" s="45">
        <v>0</v>
      </c>
      <c r="J53" s="45">
        <v>0.2</v>
      </c>
      <c r="K53" s="45">
        <v>0.4</v>
      </c>
      <c r="L53" s="45">
        <v>0.6</v>
      </c>
      <c r="M53" s="45">
        <v>0.8</v>
      </c>
      <c r="N53" s="45">
        <v>1</v>
      </c>
    </row>
    <row r="54" spans="1:14" x14ac:dyDescent="0.25">
      <c r="A54" s="16"/>
      <c r="B54" s="23">
        <f>IF(I48&gt;0,B55+B53*$L$2*I51,IF((1-$O$2)*$A$16-$Q$2&gt;0,(1-$O$2)*$A$16-$Q$2,0))</f>
        <v>106</v>
      </c>
      <c r="C54" s="41">
        <f>IF(J48&gt;0,C55+C53*$L$2*J52,IF((1-$O$2)*$A$16-$Q$2&gt;0,(1-$O$2)*$A$16-$Q$2,0))</f>
        <v>106.76739541972589</v>
      </c>
      <c r="D54" s="41">
        <f>IF(K48&gt;0,D55+D53*$L$2*K52,IF((1-$O$2)*$A$16-$Q$2&gt;0,(1-$O$2)*$A$16-$Q$2,0))</f>
        <v>107.31553500524436</v>
      </c>
      <c r="E54" s="41">
        <f>IF(L48&gt;0,E55+E53*$L$2*L52,IF((1-$O$2)*$A$16-$Q$2&gt;0,(1-$O$2)*$A$16-$Q$2,0))</f>
        <v>107.72663969438322</v>
      </c>
      <c r="F54" s="41">
        <f>IF(M48&gt;0,F55+F53*$L$2*M52,IF((1-$O$2)*$A$16-$Q$2&gt;0,(1-$O$2)*$A$16-$Q$2,0))</f>
        <v>108.04638778593568</v>
      </c>
      <c r="G54" s="41">
        <f>IF(N48&gt;0,G55+G53*$L$2*N52,IF((1-$O$2)*$A$16-$Q$2&gt;0,(1-$O$2)*$A$16-$Q$2,0))</f>
        <v>108.30218625917762</v>
      </c>
      <c r="H54" s="51" t="s">
        <v>45</v>
      </c>
      <c r="I54" s="53">
        <f t="shared" ref="I54:N54" si="26">(AH13*$J$2+BB5*$K$2)*EXP(-$M$2*$N$2)</f>
        <v>103.321523434127</v>
      </c>
      <c r="J54" s="46">
        <f t="shared" si="26"/>
        <v>103.321523434127</v>
      </c>
      <c r="K54" s="46">
        <f t="shared" si="26"/>
        <v>103.321523434127</v>
      </c>
      <c r="L54" s="46">
        <f t="shared" si="26"/>
        <v>103.321523434127</v>
      </c>
      <c r="M54" s="46">
        <f t="shared" si="26"/>
        <v>103.321523434127</v>
      </c>
      <c r="N54" s="46">
        <f t="shared" si="26"/>
        <v>103.321523434127</v>
      </c>
    </row>
    <row r="55" spans="1:14" x14ac:dyDescent="0.25">
      <c r="A55" t="s">
        <v>39</v>
      </c>
      <c r="B55">
        <v>106</v>
      </c>
      <c r="C55">
        <f>(1-C53)*106</f>
        <v>84.800000000000011</v>
      </c>
      <c r="D55">
        <f>(1-D53)*106</f>
        <v>63.599999999999994</v>
      </c>
      <c r="E55">
        <f>(1-E53)*106</f>
        <v>42.400000000000006</v>
      </c>
      <c r="F55">
        <f>(1-F53)*106</f>
        <v>21.199999999999996</v>
      </c>
      <c r="G55">
        <v>0</v>
      </c>
      <c r="H55" s="51" t="s">
        <v>44</v>
      </c>
      <c r="I55" s="152" t="s">
        <v>38</v>
      </c>
      <c r="J55" s="152"/>
      <c r="K55" s="152"/>
      <c r="L55" s="152"/>
      <c r="M55" s="152"/>
      <c r="N55" s="152"/>
    </row>
  </sheetData>
  <mergeCells count="4">
    <mergeCell ref="A3:D3"/>
    <mergeCell ref="BB4:BG4"/>
    <mergeCell ref="AH11:AM11"/>
    <mergeCell ref="I55:N55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61"/>
  <sheetViews>
    <sheetView tabSelected="1" topLeftCell="F39" zoomScale="65" zoomScaleNormal="65" workbookViewId="0">
      <selection activeCell="Q54" sqref="Q54"/>
    </sheetView>
  </sheetViews>
  <sheetFormatPr defaultRowHeight="16.5" x14ac:dyDescent="0.25"/>
  <cols>
    <col min="1" max="2" width="9.125" bestFit="1" customWidth="1"/>
    <col min="3" max="3" width="9.25" bestFit="1" customWidth="1"/>
    <col min="4" max="6" width="9.125" bestFit="1" customWidth="1"/>
    <col min="7" max="7" width="12.25" bestFit="1" customWidth="1"/>
    <col min="8" max="8" width="10.125" customWidth="1"/>
    <col min="9" max="9" width="9.5" customWidth="1"/>
    <col min="10" max="14" width="10.125" bestFit="1" customWidth="1"/>
    <col min="15" max="15" width="15.125" bestFit="1" customWidth="1"/>
    <col min="16" max="16" width="12" customWidth="1"/>
    <col min="17" max="17" width="13.875" customWidth="1"/>
    <col min="18" max="18" width="21.875" bestFit="1" customWidth="1"/>
    <col min="19" max="20" width="13.75" customWidth="1"/>
    <col min="21" max="21" width="13.625" customWidth="1"/>
    <col min="22" max="22" width="9.125" bestFit="1" customWidth="1"/>
    <col min="23" max="23" width="9.75" bestFit="1" customWidth="1"/>
    <col min="24" max="24" width="9.125" bestFit="1" customWidth="1"/>
    <col min="25" max="25" width="8.875" customWidth="1"/>
    <col min="26" max="26" width="10.125" customWidth="1"/>
    <col min="27" max="27" width="9.625" bestFit="1" customWidth="1"/>
    <col min="28" max="29" width="9.25" bestFit="1" customWidth="1"/>
    <col min="30" max="30" width="9.125" customWidth="1"/>
    <col min="31" max="31" width="10.625" bestFit="1" customWidth="1"/>
    <col min="32" max="32" width="9.75" bestFit="1" customWidth="1"/>
    <col min="33" max="33" width="10" customWidth="1"/>
    <col min="34" max="34" width="12.875" bestFit="1" customWidth="1"/>
    <col min="35" max="35" width="9.125" bestFit="1" customWidth="1"/>
    <col min="36" max="36" width="13.5" bestFit="1" customWidth="1"/>
    <col min="37" max="37" width="9.125" bestFit="1" customWidth="1"/>
    <col min="38" max="38" width="8.875" customWidth="1"/>
    <col min="39" max="39" width="8.125" customWidth="1"/>
    <col min="40" max="40" width="10.625" customWidth="1"/>
    <col min="41" max="41" width="11" customWidth="1"/>
    <col min="53" max="53" width="10.125" customWidth="1"/>
  </cols>
  <sheetData>
    <row r="1" spans="1:39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/>
      <c r="G1" s="20" t="s">
        <v>5</v>
      </c>
      <c r="H1" s="20" t="s">
        <v>6</v>
      </c>
      <c r="I1" s="20" t="s">
        <v>7</v>
      </c>
      <c r="J1" s="20" t="s">
        <v>8</v>
      </c>
      <c r="K1" s="20" t="s">
        <v>51</v>
      </c>
      <c r="L1" s="20" t="s">
        <v>16</v>
      </c>
      <c r="M1" s="74" t="s">
        <v>17</v>
      </c>
      <c r="N1" s="20" t="s">
        <v>18</v>
      </c>
      <c r="O1" s="20" t="s">
        <v>24</v>
      </c>
      <c r="P1" s="74" t="s">
        <v>29</v>
      </c>
      <c r="Q1" s="20" t="s">
        <v>30</v>
      </c>
      <c r="R1" s="20" t="s">
        <v>32</v>
      </c>
      <c r="S1" s="20" t="s">
        <v>50</v>
      </c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x14ac:dyDescent="0.25">
      <c r="A2" s="20">
        <v>100</v>
      </c>
      <c r="B2" s="20">
        <v>100</v>
      </c>
      <c r="C2" s="20">
        <v>0.2</v>
      </c>
      <c r="D2" s="20">
        <v>0.08</v>
      </c>
      <c r="E2" s="20">
        <v>0.05</v>
      </c>
      <c r="F2" s="20"/>
      <c r="G2" s="20">
        <v>0.46</v>
      </c>
      <c r="H2" s="20">
        <f>EXP(G2*SQRT(N2))</f>
        <v>1.5840739849944818</v>
      </c>
      <c r="I2" s="20">
        <f>1/H2</f>
        <v>0.63128364550692595</v>
      </c>
      <c r="J2" s="20">
        <f>(EXP((M2-S2)*N2)-I2)/(H2-I2)</f>
        <v>0.42981872476343574</v>
      </c>
      <c r="K2" s="20">
        <f>1-J2</f>
        <v>0.57018127523656426</v>
      </c>
      <c r="L2" s="20">
        <v>1</v>
      </c>
      <c r="M2" s="74">
        <v>0.06</v>
      </c>
      <c r="N2" s="20">
        <v>1</v>
      </c>
      <c r="O2" s="20">
        <v>0.2</v>
      </c>
      <c r="P2" s="74">
        <f>$A$2+$A$2*$D$2*$N$2</f>
        <v>108</v>
      </c>
      <c r="Q2" s="20">
        <f>P2*EXP(-$M$2*$N$2)+$A$2*$D$2*$N$2</f>
        <v>109.71056962709886</v>
      </c>
      <c r="R2" s="20">
        <v>106</v>
      </c>
      <c r="S2" s="20">
        <v>0.02</v>
      </c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x14ac:dyDescent="0.25">
      <c r="A3" s="153" t="s">
        <v>23</v>
      </c>
      <c r="B3" s="153"/>
      <c r="C3" s="153"/>
      <c r="D3" s="153"/>
      <c r="E3" s="75"/>
      <c r="F3" s="75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x14ac:dyDescent="0.25">
      <c r="A4" s="76"/>
      <c r="B4" s="20" t="s">
        <v>25</v>
      </c>
      <c r="C4" s="20" t="s">
        <v>26</v>
      </c>
      <c r="D4" s="20" t="s">
        <v>27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 x14ac:dyDescent="0.25">
      <c r="A5" s="76">
        <v>0</v>
      </c>
      <c r="B5" s="20">
        <v>0</v>
      </c>
      <c r="C5" s="77">
        <f t="shared" ref="C5:C11" si="0">$A$2*(1-$C$2)*$D$2*$N$2+$B$2*(1-A5)*(1-$C$2)*$E$2*$N$2</f>
        <v>10.4</v>
      </c>
      <c r="D5" s="74">
        <f t="shared" ref="D5:D11" si="1">$A$2+$B$2*(1-A5)+$A$2*(1-$C$2)*$D$2*$N$2+$B$2*(1-A5)*(1-$C$2)*$E$2*$N$2</f>
        <v>210.4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 x14ac:dyDescent="0.25">
      <c r="A6" s="76">
        <v>0.2</v>
      </c>
      <c r="B6" s="20">
        <v>0</v>
      </c>
      <c r="C6" s="77">
        <f t="shared" si="0"/>
        <v>9.6000000000000014</v>
      </c>
      <c r="D6" s="74">
        <f t="shared" si="1"/>
        <v>189.6</v>
      </c>
      <c r="E6" s="20"/>
      <c r="F6" s="20"/>
      <c r="G6" s="20" t="s">
        <v>52</v>
      </c>
      <c r="H6" s="74"/>
      <c r="I6" s="74"/>
      <c r="J6" s="74"/>
      <c r="K6" s="74"/>
      <c r="L6" s="74"/>
      <c r="M6" s="74"/>
      <c r="N6" s="74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x14ac:dyDescent="0.25">
      <c r="A7" s="76">
        <v>0.4</v>
      </c>
      <c r="B7" s="20">
        <v>0</v>
      </c>
      <c r="C7" s="77">
        <f t="shared" si="0"/>
        <v>8.8000000000000007</v>
      </c>
      <c r="D7" s="74">
        <f t="shared" si="1"/>
        <v>168.8</v>
      </c>
      <c r="E7" s="20"/>
      <c r="F7" s="20"/>
      <c r="G7" s="62" t="s">
        <v>11</v>
      </c>
      <c r="H7" s="78" t="s">
        <v>53</v>
      </c>
      <c r="I7" s="78">
        <v>0</v>
      </c>
      <c r="J7" s="78">
        <v>0.2</v>
      </c>
      <c r="K7" s="78">
        <v>0.4</v>
      </c>
      <c r="L7" s="78">
        <v>0.6</v>
      </c>
      <c r="M7" s="78">
        <v>0.8</v>
      </c>
      <c r="N7" s="78">
        <v>1</v>
      </c>
      <c r="O7" s="78" t="s">
        <v>14</v>
      </c>
      <c r="P7" s="78">
        <v>0</v>
      </c>
      <c r="Q7" s="78">
        <v>0.2</v>
      </c>
      <c r="R7" s="78">
        <v>0.4</v>
      </c>
      <c r="S7" s="78">
        <v>0.6</v>
      </c>
      <c r="T7" s="78">
        <v>0.8</v>
      </c>
      <c r="U7" s="78">
        <v>1</v>
      </c>
      <c r="V7" s="62" t="s">
        <v>15</v>
      </c>
      <c r="W7" s="79" t="s">
        <v>33</v>
      </c>
      <c r="X7" s="60" t="s">
        <v>34</v>
      </c>
      <c r="Y7" s="60" t="s">
        <v>35</v>
      </c>
      <c r="Z7" s="62" t="s">
        <v>19</v>
      </c>
      <c r="AA7" s="78">
        <v>0</v>
      </c>
      <c r="AB7" s="78">
        <v>0.2</v>
      </c>
      <c r="AC7" s="78">
        <v>0.4</v>
      </c>
      <c r="AD7" s="78">
        <v>0.6</v>
      </c>
      <c r="AE7" s="78">
        <v>0.8</v>
      </c>
      <c r="AF7" s="78">
        <v>1</v>
      </c>
      <c r="AG7" s="59" t="s">
        <v>43</v>
      </c>
      <c r="AH7" s="58">
        <v>0</v>
      </c>
      <c r="AI7" s="58">
        <v>0.2</v>
      </c>
      <c r="AJ7" s="58">
        <v>0.4</v>
      </c>
      <c r="AK7" s="58">
        <v>0.6</v>
      </c>
      <c r="AL7" s="58">
        <v>0.8</v>
      </c>
      <c r="AM7" s="58">
        <v>1</v>
      </c>
    </row>
    <row r="8" spans="1:39" x14ac:dyDescent="0.25">
      <c r="A8" s="76">
        <v>0.6</v>
      </c>
      <c r="B8" s="20">
        <v>0</v>
      </c>
      <c r="C8" s="77">
        <f t="shared" si="0"/>
        <v>8</v>
      </c>
      <c r="D8" s="74">
        <f t="shared" si="1"/>
        <v>148</v>
      </c>
      <c r="E8" s="20"/>
      <c r="F8" s="20"/>
      <c r="G8" s="80"/>
      <c r="H8" s="78">
        <v>0</v>
      </c>
      <c r="I8" s="81">
        <f>MIN(I14,(N35*$J$2+M43*$K$2)*EXP(-$M$2*$N$2)+$B$2*(1-I7)*$E$2)</f>
        <v>60.598340717793377</v>
      </c>
      <c r="J8" s="82">
        <f>MIN(J14,(N36*$J$2+M44*$K$2)*EXP(-$M$2*$N$2)+$B$2*(1-J7)*$E$2)</f>
        <v>50.713895950776489</v>
      </c>
      <c r="K8" s="82">
        <f>MIN(K14,(N37*$J$2+M45*$K$2)*EXP(-$M$2*$N$2)+$B$2*(1-K7)*$E$2)</f>
        <v>40.829451183759609</v>
      </c>
      <c r="L8" s="82">
        <f>MIN(L14,(N38*$J$2+M46*$K$2)*EXP(-$M$2*$N$2)+$B$2*(1-L7)*$E$2)</f>
        <v>30.945006416742725</v>
      </c>
      <c r="M8" s="82">
        <f>MIN(M14,(N39*$J$2+M47*$K$2)*EXP(-$M$2*$N$2)+$B$2*(1-M7)*$E$2)</f>
        <v>21.060561649725837</v>
      </c>
      <c r="N8" s="83">
        <f>MIN(N14,(N40*$J$2+O49*$K$2)*EXP(-$M$2*$N$2)+$B$2*(1-N7)*$E$2)</f>
        <v>0</v>
      </c>
      <c r="O8" s="84" t="s">
        <v>33</v>
      </c>
      <c r="P8" s="85">
        <f>MAX((W40*(1+$L$2*P7)*$J$2+Y47*(1+$L$2*P7)*$K$2)*EXP(-$M$2*$N$2)+C28-$A$2*$D$2*(1-$C$2)-$B$2*$E$2*(1-P7)*(1-$C$2),0)</f>
        <v>38.064853692744691</v>
      </c>
      <c r="Q8" s="85">
        <f>MAX((W40*(1+$L$2*Q7)*$J$2+Y47*(1+$L$2*Q7)*$K$2)*EXP(-$M$2*$N$2)+C28-$A$2*$D$2*(1-$C$2)-$B$2*$E$2*(1-Q7)*(1-$C$2),0)</f>
        <v>47.749298459761569</v>
      </c>
      <c r="R8" s="85">
        <f>MAX((W40*(1+$L$2*R7)*$J$2+Y47*(1+$L$2*R7)*$K$2)*EXP(-$M$2*$N$2)+C28-$A$2*$D$2*(1-$C$2)-$B$2*$E$2*(1-R7)*(1-$C$2),0)</f>
        <v>57.433743226778446</v>
      </c>
      <c r="S8" s="85">
        <f>MAX((W40*(1+$L$2*S7)*$J$2+Y47*(1+$L$2*S7)*$K$2)*EXP(-$M$2*$N$2)+C28-$A$2*$D$2*(1-$C$2)-$B$2*$E$2*(1-S7)*(1-$C$2),0)</f>
        <v>67.118187993795331</v>
      </c>
      <c r="T8" s="85">
        <f>MAX((W40*(1+$L$2*T7)*$J$2+Y47*(1+$L$2*T7)*$K$2)*EXP(-$M$2*$N$2)+C28-$A$2*$D$2*(1-$C$2)-$B$2*$E$2*(1-T7)*(1-$C$2),0)</f>
        <v>76.80263276081223</v>
      </c>
      <c r="U8" s="85">
        <f>MAX((W40*(1+$L$2*U7)*$J$2+Y49*(1+$L$2*U7)*$K$2)*EXP(-$M$2*$N$2)+C28-$A$2*$D$2*(1-$C$2)-$B$2*$E$2*(1-U7)*(1-$C$2),0)</f>
        <v>97.555799109991739</v>
      </c>
      <c r="V8" s="78">
        <v>0</v>
      </c>
      <c r="W8" s="62">
        <f>P8/(1+$L$2*V8)</f>
        <v>38.064853692744691</v>
      </c>
      <c r="X8" s="62">
        <f>P$9/(1+$L$2*V8)</f>
        <v>0</v>
      </c>
      <c r="Y8" s="62">
        <f>P$10/(1+$L$2*V8)</f>
        <v>97.555799109991739</v>
      </c>
      <c r="Z8" s="78">
        <v>0</v>
      </c>
      <c r="AA8" s="86">
        <f>IF(P8&gt;0,I8+(AA7-$Z$8)*$L$2*W8,IF((1-$O$2)*($C$18+$C$28)-$Q$2&gt;0,(1-$O$2)*($C$18+$C$28)-$Q$2,0))</f>
        <v>60.598340717793377</v>
      </c>
      <c r="AB8" s="87">
        <f>IF(Q8&gt;0,J8+(AB7-$Z$8)*$L$2*W9,IF((1-$O$2)*($C$18+$C$28)-$Q$2&gt;0,(1-$O$2)*($C$18+$C$28)-$Q$2,0))</f>
        <v>58.672112360736755</v>
      </c>
      <c r="AC8" s="87">
        <f>IF(R8&gt;0,K8+(AC7-$Z$8)*$L$2*W10,IF((1-$O$2)*($C$18+$C$28)-$Q$2&gt;0,(1-$O$2)*($C$18+$C$28)-$Q$2,0))</f>
        <v>57.239092105696308</v>
      </c>
      <c r="AD8" s="87">
        <f>IF(S8&gt;0,L8+(AD7-$Z$8)*$L$2*W11,IF((1-$O$2)*($C$18+$C$28)-$Q$2&gt;0,(1-$O$2)*($C$18+$C$28)-$Q$2,0))</f>
        <v>56.114326914415969</v>
      </c>
      <c r="AE8" s="87">
        <f>IF(T8&gt;0,M8+(AE7-$Z$8)*$L$2*W12,IF((1-$O$2)*($C$18+$C$28)-$Q$2&gt;0,(1-$O$2)*($C$18+$C$28)-$Q$2,0))</f>
        <v>55.195065098975718</v>
      </c>
      <c r="AF8" s="87">
        <f>IF(U8&gt;0,N8+(AF7-$Z$8)*$L$2*W13,IF((1-$O$2)*($C$18+$C$28)-$Q$2&gt;0,(1-$O$2)*($C$18+$C$28)-$Q$2,0))</f>
        <v>48.777899554995869</v>
      </c>
      <c r="AG8" s="59" t="s">
        <v>44</v>
      </c>
      <c r="AH8" s="88">
        <f>IF(P8&gt;0,(AA34*$J$2+AG42*$K$2)*EXP(-$M$2*$N$2)+$A$2*$D$2,MIN((1-$O$2)*$C$18*EXP(S2*N2),Q2))</f>
        <v>109.71056962709886</v>
      </c>
      <c r="AI8" s="88">
        <f>IF(Q8&gt;0,(AB34*$J$2+AG42*$K$2)*EXP(-$M$2*$N$2)+$A$2*$D$2,MIN((1-$O$2)*$C$18*EXP(S2*N2),R2))</f>
        <v>109.71056962709886</v>
      </c>
      <c r="AJ8" s="88">
        <f>IF(R8&gt;0,(AC34*$J$2+AG42*$K$2)*EXP(-$M$2*$N$2)+$A$2*$D$2,MIN((1-$O$2)*$C$18*EXP(S2*N2),S2))</f>
        <v>109.71056962709886</v>
      </c>
      <c r="AK8" s="88">
        <f>IF(S8&gt;0,(AD34*$J$2+AG42*$K$2)*EXP(-$M$2*$N$2)+$A$2*$D$2,MIN((1-$O$2)*$C$18*EXP(S2*N2),T2))</f>
        <v>109.71056962709886</v>
      </c>
      <c r="AL8" s="88">
        <f>IF(T8&gt;0,(AE34*$J$2+AG42*$K$2)*EXP(-$M$2*$N$2)+$A$2*$D$2,MIN((1-$O$2)*$C$18*EXP(S2*N2),U2))</f>
        <v>109.71056962709886</v>
      </c>
      <c r="AM8" s="88">
        <f>IF(U8&gt;0,(AF34*$J$2+AG42*$K$2)*EXP(-$M$2*$N$2)+$A$2*$D$2,MIN((1-$O$2)*$C$18*EXP(S2*N2),V2))</f>
        <v>109.71056962709886</v>
      </c>
    </row>
    <row r="9" spans="1:39" x14ac:dyDescent="0.25">
      <c r="A9" s="76">
        <v>0.8</v>
      </c>
      <c r="B9" s="20">
        <v>0</v>
      </c>
      <c r="C9" s="77">
        <f t="shared" si="0"/>
        <v>7.2</v>
      </c>
      <c r="D9" s="74">
        <f t="shared" si="1"/>
        <v>127.2</v>
      </c>
      <c r="E9" s="20"/>
      <c r="F9" s="20"/>
      <c r="G9" s="78"/>
      <c r="H9" s="78">
        <v>0.2</v>
      </c>
      <c r="I9" s="62"/>
      <c r="J9" s="82">
        <f>MIN(J14,(N36*$J$2+M44*$K$2)*EXP(-$M$2*$N$2)+$B$2*(1-J7)*$E$2)</f>
        <v>50.713895950776489</v>
      </c>
      <c r="K9" s="62">
        <f>MIN(K14,(N37*$J$2+M45*$K$2)*EXP(-$M$2*$N$2)+$B$2*(1-K7)*$E$2)</f>
        <v>40.829451183759609</v>
      </c>
      <c r="L9" s="62">
        <f>MIN(L14,(N38*$J$2+M46*$K$2)*EXP(-$M$2*$N$2)+$B$2*(1-L7)*$E$2)</f>
        <v>30.945006416742725</v>
      </c>
      <c r="M9" s="62">
        <f>MIN(M14,(N39*$J$2+M47*$K$2)*EXP(-$M$2*$N$2)+$B$2*(1-M7)*$E$2)</f>
        <v>21.060561649725837</v>
      </c>
      <c r="N9" s="62">
        <f>MIN(N14,(N40*$J$2+O49*$K$2)*EXP(-$M$2*$N$2)+$B$2*(1-N7)*$E$2)</f>
        <v>0</v>
      </c>
      <c r="O9" s="84" t="s">
        <v>34</v>
      </c>
      <c r="P9" s="89">
        <f>MAX(($Y35*(1+$L$2*P7)*$J$2+$AA43*(1+$L$2*P7)*$K$2)*EXP(-$M$2*$N$2)+C28-$A$2*$D$2*(1-$C$2)-(1-P7)*$R$2,0)</f>
        <v>0</v>
      </c>
      <c r="Q9" s="89">
        <f>MAX(($Y36*(1+$L$2*Q7)*$J$2+$AA44*(1+$L$2*Q7)*$K$2)*EXP(-$M$2*$N$2)+C28-$A$2*$D$2*(1-$C$2)-(1-Q7)*$R$2,0)</f>
        <v>12.755799109991727</v>
      </c>
      <c r="R9" s="89">
        <f>MAX(($Y37*(1+$L$2*R7)*$J$2+$AA45*(1+$L$2*R7)*$K$2)*EXP(-$M$2*$N$2)+C28-$A$2*$D$2*(1-$C$2)-(1-R7)*$R$2,0)</f>
        <v>33.95579910999173</v>
      </c>
      <c r="S9" s="89">
        <f>MAX(($Y38*(1+$L$2*S7)*$J$2+$AA46*(1+$L$2*S7)*$K$2)*EXP(-$M$2*$N$2)+C28-$A$2*$D$2*(1-$C$2)-(1-S7)*$R$2,0)</f>
        <v>55.155799109991719</v>
      </c>
      <c r="T9" s="89">
        <f>MAX(($Y39*(1+$L$2*T7)*$J$2+$AA47*(1+$L$2*T7)*$K$2)*EXP(-$M$2*$N$2)+C28-$A$2*$D$2*(1-$C$2)-(1-T7)*$R$2,0)</f>
        <v>76.35579910999175</v>
      </c>
      <c r="U9" s="89">
        <f>MAX(($Y40*(1+$L$2*U7)*$J$2+$AA49*(1+$L$2*U7)*$K$2)*EXP(-$M$2*$N$2)+C28-$A$2*$D$2*(1-$C$2)-(1-U7)*$R$2,0)</f>
        <v>97.555799109991739</v>
      </c>
      <c r="V9" s="78">
        <v>0.2</v>
      </c>
      <c r="W9" s="62">
        <f>Q8/(1+$L$2*V9)</f>
        <v>39.791082049801311</v>
      </c>
      <c r="X9" s="62">
        <f>Q$9/(1+$L$2*V9)</f>
        <v>10.629832591659774</v>
      </c>
      <c r="Y9" s="62">
        <f>Q$10/(1+$L$2*V9)</f>
        <v>81.296499258326449</v>
      </c>
      <c r="Z9" s="78">
        <v>0.2</v>
      </c>
      <c r="AA9" s="62"/>
      <c r="AB9" s="86">
        <f>IF(Q8&gt;0,J9+(AB7-$Z$9)*$L$2*W9,IF((1-$O$2)*($C$18+$C$28)-$Q$2&gt;0,(1-$O$2)*($C$18+$C$28)-$Q$2,0))</f>
        <v>50.713895950776489</v>
      </c>
      <c r="AC9" s="87">
        <f>IF(R8&gt;0,K9+(AC7-$Z$9)*$L$2*W10,IF((1-$O$2)*($C$18+$C$28)-$Q$2&gt;0,(1-$O$2)*($C$18+$C$28)-$Q$2,0))</f>
        <v>49.034271644727959</v>
      </c>
      <c r="AD9" s="87">
        <f>IF(S8&gt;0,L9+(AD7-$Z$9)*$L$2*W11,IF((1-$O$2)*($C$18+$C$28)-$Q$2&gt;0,(1-$O$2)*($C$18+$C$28)-$Q$2,0))</f>
        <v>47.724553415191551</v>
      </c>
      <c r="AE9" s="87">
        <f>IF(T8&gt;0,M9+(AE7-$Z$9)*$L$2*W12,IF((1-$O$2)*($C$18+$C$28)-$Q$2&gt;0,(1-$O$2)*($C$18+$C$28)-$Q$2,0))</f>
        <v>46.661439236663249</v>
      </c>
      <c r="AF9" s="87">
        <f>IF(U8&gt;0,N9+(AF7-$Z$9)*$L$2*W13,IF((1-$O$2)*($C$18+$C$28)-$Q$2&gt;0,(1-$O$2)*($C$18+$C$28)-$Q$2,0))</f>
        <v>39.022319643996696</v>
      </c>
      <c r="AG9" s="59" t="s">
        <v>45</v>
      </c>
      <c r="AH9" s="154" t="s">
        <v>38</v>
      </c>
      <c r="AI9" s="154"/>
      <c r="AJ9" s="154"/>
      <c r="AK9" s="154"/>
      <c r="AL9" s="154"/>
      <c r="AM9" s="154"/>
    </row>
    <row r="10" spans="1:39" x14ac:dyDescent="0.25">
      <c r="A10" s="76">
        <v>1</v>
      </c>
      <c r="B10" s="20">
        <v>0</v>
      </c>
      <c r="C10" s="77">
        <f t="shared" si="0"/>
        <v>6.4</v>
      </c>
      <c r="D10" s="74">
        <f t="shared" si="1"/>
        <v>106.4</v>
      </c>
      <c r="E10" s="20" t="s">
        <v>31</v>
      </c>
      <c r="F10" s="20"/>
      <c r="G10" s="78"/>
      <c r="H10" s="78">
        <v>0.4</v>
      </c>
      <c r="I10" s="62"/>
      <c r="J10" s="62"/>
      <c r="K10" s="62">
        <f>MIN(K14,(N37*$J$2+M45*$K$2)*EXP(-$M$2*$N$2)+$B$2*(1-K7)*$E$2)</f>
        <v>40.829451183759609</v>
      </c>
      <c r="L10" s="62">
        <f>MIN(L14,(N38*$J$2+M46*$K$2)*EXP(-$M$2*$N$2)+$B$2*(1-L7)*$E$2)</f>
        <v>30.945006416742725</v>
      </c>
      <c r="M10" s="62">
        <f>MIN(M14,(N39*$J$2+M47*$K$2)*EXP(-$M$2*$N$2)+$B$2*(1-M7)*$E$2)</f>
        <v>21.060561649725837</v>
      </c>
      <c r="N10" s="62">
        <f>MIN(N14,(N40*$J$2+O49*$K$2)*EXP(-$M$2*$N$2)+$B$2*(1-N7)*$E$2)</f>
        <v>0</v>
      </c>
      <c r="O10" s="84" t="s">
        <v>35</v>
      </c>
      <c r="P10" s="89">
        <f>MAX(($Y35*(1+L2*P7)*$J$2+$AA43*(1+L2*P7)*$K$2)*EXP(-$M$2*$N$2)+C28-$A$2*$D$2*(1-$C$2),0)</f>
        <v>97.555799109991739</v>
      </c>
      <c r="Q10" s="89">
        <f>MAX(($Y36*(1+L2*Q7)*$J$2+$AA44*(1+L2*Q7)*$K$2)*EXP(-$M$2*$N$2)+C28-$A$2*$D$2*(1-$C$2),0)</f>
        <v>97.555799109991739</v>
      </c>
      <c r="R10" s="89">
        <f>MAX(($Y37*(1+L2*R7)*$J$2+$AA45*(1+L2*R7)*$K$2)*EXP(-$M$2*$N$2)+C28-$A$2*$D$2*(1-$C$2),0)</f>
        <v>97.555799109991725</v>
      </c>
      <c r="S10" s="89">
        <f>MAX(($Y38*(1+L2*S7)*$J$2+$AA46*(1+L2*S7)*$K$2)*EXP(-$M$2*$N$2)+C28-$A$2*$D$2*(1-$C$2),0)</f>
        <v>97.555799109991725</v>
      </c>
      <c r="T10" s="89">
        <f>MAX(($Y39*(1+L2*T7)*$J$2+$AA47*(1+L2*T7)*$K$2)*EXP(-$M$2*$N$2)+C28-$A$2*$D$2*(1-$C$2),0)</f>
        <v>97.555799109991739</v>
      </c>
      <c r="U10" s="89">
        <f>MAX(($Y40*(1+L2*U7)*$J$2+$AA49*(1+L2*U7)*$K$2)*EXP(-$M$2*$N$2)+C28-$A$2*$D$2*(1-$C$2),0)</f>
        <v>97.555799109991739</v>
      </c>
      <c r="V10" s="78">
        <v>0.4</v>
      </c>
      <c r="W10" s="62">
        <f>R8/(1+$L$2*V10)</f>
        <v>41.024102304841747</v>
      </c>
      <c r="X10" s="62">
        <f>R$9/(1+$L$2*V10)</f>
        <v>24.254142221422665</v>
      </c>
      <c r="Y10" s="62">
        <f>R$10/(1+$L$2*V10)</f>
        <v>69.682713649994099</v>
      </c>
      <c r="Z10" s="78">
        <v>0.4</v>
      </c>
      <c r="AA10" s="62"/>
      <c r="AB10" s="87"/>
      <c r="AC10" s="86">
        <f>IF(R8&gt;0,K10+(AC7-$Z$10)*$L$2*W10,IF((1-$O$2)*($C$18+$C$28)-$Q$2&gt;0,(1-$O$2)*($C$18+$C$28)-$Q$2,0))</f>
        <v>40.829451183759609</v>
      </c>
      <c r="AD10" s="87">
        <f>IF(S8&gt;0,L10+(AD7-$Z$10)*$L$2*W11,IF((1-$O$2)*($C$18+$C$28)-$Q$2&gt;0,(1-$O$2)*($C$18+$C$28)-$Q$2,0))</f>
        <v>39.33477991596714</v>
      </c>
      <c r="AE10" s="87">
        <f>IF(T8&gt;0,M10+(AE7-$Z$10)*$L$2*W12,IF((1-$O$2)*($C$18+$C$28)-$Q$2&gt;0,(1-$O$2)*($C$18+$C$28)-$Q$2,0))</f>
        <v>38.127813374350779</v>
      </c>
      <c r="AF10" s="87">
        <f>IF(U8&gt;0,N10+(AF7-$Z$10)*$L$2*W13,IF((1-$O$2)*($C$18+$C$28)-$Q$2&gt;0,(1-$O$2)*($C$18+$C$28)-$Q$2,0))</f>
        <v>29.266739732997522</v>
      </c>
      <c r="AG10" s="59" t="s">
        <v>42</v>
      </c>
      <c r="AH10" s="59">
        <f>IF(P10&gt;0,(AA36*$J$2+AC44*$K$2)*EXP(-$M$2*$N$2)+$A$2*$D$2,MIN((1-$O$2)*$C$18*EXP(S2*N2),Q2))</f>
        <v>109.71056962709886</v>
      </c>
      <c r="AI10" s="59">
        <f>IF(Q10&gt;0,(AB36*$J$2+AD44*$K$2)*EXP(-$M$2*$N$2)+$A$2*$D$2,MIN((1-$O$2)*$C$18*EXP(S2*N2),Q2))</f>
        <v>109.71056962709886</v>
      </c>
      <c r="AJ10" s="59">
        <f>IF(R10&gt;0,(AC36*$J$2+AE44*$K$2)*EXP(-$M$2*$N$2)+$A$2*$D$2,MIN((1-$O$2)*$C$18*EXP(S2*N2),Q2))</f>
        <v>109.71056962709886</v>
      </c>
      <c r="AK10" s="59">
        <f>IF(S10&gt;0,(AD36*$J$2+AF44*$K$2)*EXP(-$M$2*$N$2)+$A$2*$D$2,MIN((1-$O$2)*$C$18*EXP(S2*N2),Q2))</f>
        <v>109.71056962709886</v>
      </c>
      <c r="AL10" s="59">
        <f>IF(T10&gt;0,(AE36*$J$2+AG44*$K$2)*EXP(-$M$2*$N$2)+$A$2*$D$2,MIN((1-$O$2)*$C$18*EXP(S2*N2),Q2))</f>
        <v>109.71056962709886</v>
      </c>
      <c r="AM10" s="59">
        <f>IF(U10&gt;0,(AF36*$J$2+AI44*$K$2)*EXP(-$M$2*$N$2)+$A$2*$D$2,MIN((1-$O$2)*$C$18*EXP(S2*N2),Q2))</f>
        <v>109.71056962709886</v>
      </c>
    </row>
    <row r="11" spans="1:39" x14ac:dyDescent="0.25">
      <c r="A11" s="76">
        <v>0.80840000000000001</v>
      </c>
      <c r="B11" s="20"/>
      <c r="C11" s="77">
        <f t="shared" si="0"/>
        <v>7.1664000000000003</v>
      </c>
      <c r="D11" s="74">
        <f t="shared" si="1"/>
        <v>126.32640000000001</v>
      </c>
      <c r="E11" s="20"/>
      <c r="F11" s="20"/>
      <c r="G11" s="78"/>
      <c r="H11" s="78">
        <v>0.6</v>
      </c>
      <c r="I11" s="62"/>
      <c r="J11" s="62"/>
      <c r="K11" s="62"/>
      <c r="L11" s="62">
        <f>MIN(L14,(N38*$J$2+M46*$K$2)*EXP(-$M$2*$N$2)+$B$2*(1-L7)*$E$2)</f>
        <v>30.945006416742725</v>
      </c>
      <c r="M11" s="62">
        <f>MIN(M14,(N39*$J$2+M47*$K$2)*EXP(-$M$2*$N$2)+$B$2*(1-M7)*$E$2)</f>
        <v>21.060561649725837</v>
      </c>
      <c r="N11" s="62">
        <f>MIN(N14,(N40*$J$2+O49*$K$2)*EXP(-$M$2*$N$2)+$B$2*(1-N7)*$E$2)</f>
        <v>0</v>
      </c>
      <c r="O11" s="78">
        <v>0.6</v>
      </c>
      <c r="P11" s="90"/>
      <c r="Q11" s="90"/>
      <c r="R11" s="90"/>
      <c r="S11" s="90"/>
      <c r="T11" s="90"/>
      <c r="U11" s="90"/>
      <c r="V11" s="78">
        <v>0.6</v>
      </c>
      <c r="W11" s="62">
        <f>S8/(1+$L$2*V11)</f>
        <v>41.948867496122077</v>
      </c>
      <c r="X11" s="62">
        <f>S$9/(1+$L$2*V11)</f>
        <v>34.472374443744819</v>
      </c>
      <c r="Y11" s="62">
        <f>S$10/(1+$L$2*V11)</f>
        <v>60.972374443744826</v>
      </c>
      <c r="Z11" s="78">
        <v>0.6</v>
      </c>
      <c r="AA11" s="62"/>
      <c r="AB11" s="62"/>
      <c r="AC11" s="62"/>
      <c r="AD11" s="86">
        <f>IF(S8&gt;0,L11+(AD7-$Z$11)*$L$2*W11,IF((1-$O$2)*($C$18+$C$28)-$Q$2&gt;0,(1-$O$2)*($C$18+$C$28)-$Q$2,0))</f>
        <v>30.945006416742725</v>
      </c>
      <c r="AE11" s="87">
        <f>IF(T8&gt;0,M11+(AE7-$Z$11)*$L$2*W12,IF((1-$O$2)*($C$18+$C$28)-$Q$2&gt;0,(1-$O$2)*($C$18+$C$28)-$Q$2,0))</f>
        <v>29.59418751203831</v>
      </c>
      <c r="AF11" s="87">
        <f>IF(U8&gt;0,N11+(AF7-$Z$11)*$L$2*W13,IF((1-$O$2)*($C$18+$C$28)-$Q$2&gt;0,(1-$O$2)*($C$18+$C$28)-$Q$2,0))</f>
        <v>19.511159821998348</v>
      </c>
      <c r="AG11" s="20"/>
      <c r="AH11" s="20"/>
      <c r="AI11" s="20"/>
      <c r="AJ11" s="20"/>
      <c r="AK11" s="20"/>
      <c r="AL11" s="20"/>
      <c r="AM11" s="20"/>
    </row>
    <row r="12" spans="1:39" x14ac:dyDescent="0.25">
      <c r="A12" s="20"/>
      <c r="B12" s="20"/>
      <c r="C12" s="20"/>
      <c r="D12" s="20"/>
      <c r="E12" s="91">
        <f>C14*H2</f>
        <v>795.44505360980634</v>
      </c>
      <c r="F12" s="20"/>
      <c r="G12" s="78"/>
      <c r="H12" s="78">
        <v>0.8</v>
      </c>
      <c r="I12" s="62"/>
      <c r="J12" s="62"/>
      <c r="K12" s="62"/>
      <c r="L12" s="62"/>
      <c r="M12" s="62">
        <f>MIN(M14,(N39*$J$2+M47*$K$2)*EXP(-$M$2*$N$2)+$B$2*(1-M7)*$E$2)</f>
        <v>21.060561649725837</v>
      </c>
      <c r="N12" s="62">
        <f>MIN(N14,(N40*$J$2+O49*$K$2)*EXP(-$M$2*$N$2)+$B$2*(1-N7)*$E$2)</f>
        <v>0</v>
      </c>
      <c r="O12" s="78">
        <v>0.8</v>
      </c>
      <c r="P12" s="90"/>
      <c r="Q12" s="90"/>
      <c r="R12" s="90"/>
      <c r="S12" s="90"/>
      <c r="T12" s="90"/>
      <c r="U12" s="90"/>
      <c r="V12" s="78">
        <v>0.8</v>
      </c>
      <c r="W12" s="62">
        <f>T8/(1+$L$2*V12)</f>
        <v>42.668129311562346</v>
      </c>
      <c r="X12" s="62">
        <f>T$9/(1+$L$2*V12)</f>
        <v>42.419888394439859</v>
      </c>
      <c r="Y12" s="62">
        <f>T$10/(1+$L$2*V12)</f>
        <v>54.19766617221763</v>
      </c>
      <c r="Z12" s="78">
        <v>0.8</v>
      </c>
      <c r="AA12" s="62"/>
      <c r="AB12" s="62"/>
      <c r="AC12" s="62"/>
      <c r="AD12" s="62"/>
      <c r="AE12" s="86">
        <f>IF(T8&gt;0,M12+(AE7-$Z$12)*$L$2*W12,IF((1-$O$2)*($C$18+$C$28)-$Q$2&gt;0,(1-$O$2)*($C$18+$C$28)-$Q$2,0))</f>
        <v>21.060561649725837</v>
      </c>
      <c r="AF12" s="87">
        <f>IF(U8&gt;0,N12+(AF7-$Z$12)*$L$2*W13,IF((1-$O$2)*($C$18+$C$28)-$Q$2&gt;0,(1-$O$2)*($C$18+$C$28)-$Q$2,0))</f>
        <v>9.7555799109991721</v>
      </c>
      <c r="AG12" s="20"/>
      <c r="AH12" s="20"/>
      <c r="AI12" s="20"/>
      <c r="AJ12" s="20"/>
      <c r="AK12" s="20"/>
      <c r="AL12" s="20"/>
      <c r="AM12" s="20"/>
    </row>
    <row r="13" spans="1:39" x14ac:dyDescent="0.25">
      <c r="A13" s="20"/>
      <c r="B13" s="20"/>
      <c r="C13" s="20"/>
      <c r="D13" s="92"/>
      <c r="E13" s="20"/>
      <c r="F13" s="20"/>
      <c r="G13" s="78"/>
      <c r="H13" s="78">
        <v>1</v>
      </c>
      <c r="I13" s="62"/>
      <c r="J13" s="62"/>
      <c r="K13" s="62"/>
      <c r="L13" s="62"/>
      <c r="M13" s="62"/>
      <c r="N13" s="62">
        <f>MIN(N14,(N40*$J$2+O49*$K$2)*EXP(-$M$2*$N$2)+$B$2*(1-N7)*$E$2)</f>
        <v>0</v>
      </c>
      <c r="O13" s="78">
        <v>1</v>
      </c>
      <c r="P13" s="90"/>
      <c r="Q13" s="90"/>
      <c r="R13" s="90"/>
      <c r="S13" s="90"/>
      <c r="T13" s="90"/>
      <c r="U13" s="90"/>
      <c r="V13" s="78">
        <v>1</v>
      </c>
      <c r="W13" s="62">
        <f>U8/(1+$L$2*V13)</f>
        <v>48.777899554995869</v>
      </c>
      <c r="X13" s="62">
        <f>U$9/(1+$L$2*V13)</f>
        <v>48.777899554995869</v>
      </c>
      <c r="Y13" s="62">
        <f>U$10/(1+$L$2*V13)</f>
        <v>48.777899554995869</v>
      </c>
      <c r="Z13" s="78">
        <v>1</v>
      </c>
      <c r="AA13" s="62"/>
      <c r="AB13" s="62"/>
      <c r="AC13" s="62"/>
      <c r="AD13" s="62"/>
      <c r="AE13" s="62"/>
      <c r="AF13" s="86">
        <f>IF(U8&gt;0,N13+(AF7-$Z$13)*$L$2*W13,IF((1-$O$2)*($C$18+$C$28)-$Q$2&gt;0,(1-$O$2)*($C$18+$C$28)-$Q$2,0))</f>
        <v>0</v>
      </c>
      <c r="AG13" s="20"/>
      <c r="AH13" s="20"/>
      <c r="AI13" s="20"/>
      <c r="AJ13" s="20"/>
      <c r="AK13" s="20"/>
      <c r="AL13" s="20"/>
      <c r="AM13" s="20"/>
    </row>
    <row r="14" spans="1:39" x14ac:dyDescent="0.25">
      <c r="A14" s="20"/>
      <c r="B14" s="20"/>
      <c r="C14" s="93">
        <f>A16*H2</f>
        <v>502.15145324325073</v>
      </c>
      <c r="D14" s="20"/>
      <c r="E14" s="20"/>
      <c r="F14" s="20"/>
      <c r="G14" s="20"/>
      <c r="H14" s="20" t="s">
        <v>37</v>
      </c>
      <c r="I14" s="20">
        <f t="shared" ref="I14:N14" si="2">$R$2*(1-I$7)</f>
        <v>106</v>
      </c>
      <c r="J14" s="20">
        <f t="shared" si="2"/>
        <v>84.800000000000011</v>
      </c>
      <c r="K14" s="20">
        <f t="shared" si="2"/>
        <v>63.599999999999994</v>
      </c>
      <c r="L14" s="20">
        <f t="shared" si="2"/>
        <v>42.400000000000006</v>
      </c>
      <c r="M14" s="20">
        <f t="shared" si="2"/>
        <v>21.199999999999996</v>
      </c>
      <c r="N14" s="20">
        <f t="shared" si="2"/>
        <v>0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x14ac:dyDescent="0.25">
      <c r="A15" s="20"/>
      <c r="B15" s="92"/>
      <c r="C15" s="20"/>
      <c r="D15" s="94"/>
      <c r="E15" s="20"/>
      <c r="F15" s="20"/>
      <c r="G15" s="20" t="s">
        <v>10</v>
      </c>
      <c r="H15" s="20"/>
      <c r="I15" s="95"/>
      <c r="J15" s="95"/>
      <c r="K15" s="95"/>
      <c r="L15" s="95"/>
      <c r="M15" s="95"/>
      <c r="N15" s="95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x14ac:dyDescent="0.25">
      <c r="A16" s="96">
        <v>317</v>
      </c>
      <c r="B16" s="20"/>
      <c r="C16" s="20"/>
      <c r="D16" s="20"/>
      <c r="E16" s="60">
        <f>C14*I2</f>
        <v>317</v>
      </c>
      <c r="F16" s="20"/>
      <c r="G16" s="93"/>
      <c r="H16" s="97" t="s">
        <v>54</v>
      </c>
      <c r="I16" s="97">
        <v>0</v>
      </c>
      <c r="J16" s="97">
        <v>0.2</v>
      </c>
      <c r="K16" s="97">
        <v>0.4</v>
      </c>
      <c r="L16" s="97">
        <v>0.6</v>
      </c>
      <c r="M16" s="97">
        <v>0.8</v>
      </c>
      <c r="N16" s="97">
        <v>1</v>
      </c>
      <c r="O16" s="97" t="s">
        <v>14</v>
      </c>
      <c r="P16" s="97">
        <v>0</v>
      </c>
      <c r="Q16" s="97">
        <v>0.2</v>
      </c>
      <c r="R16" s="97">
        <v>0.4</v>
      </c>
      <c r="S16" s="97">
        <v>0.6</v>
      </c>
      <c r="T16" s="97">
        <v>0.8</v>
      </c>
      <c r="U16" s="97">
        <v>1</v>
      </c>
      <c r="V16" s="93" t="s">
        <v>15</v>
      </c>
      <c r="W16" s="79" t="s">
        <v>33</v>
      </c>
      <c r="X16" s="60" t="s">
        <v>34</v>
      </c>
      <c r="Y16" s="60" t="s">
        <v>35</v>
      </c>
      <c r="Z16" s="93" t="s">
        <v>19</v>
      </c>
      <c r="AA16" s="97">
        <v>0</v>
      </c>
      <c r="AB16" s="97">
        <v>0.2</v>
      </c>
      <c r="AC16" s="97">
        <v>0.4</v>
      </c>
      <c r="AD16" s="97">
        <v>0.6</v>
      </c>
      <c r="AE16" s="97">
        <v>0.8</v>
      </c>
      <c r="AF16" s="97">
        <v>1</v>
      </c>
      <c r="AG16" s="59" t="s">
        <v>43</v>
      </c>
      <c r="AH16" s="58">
        <v>0</v>
      </c>
      <c r="AI16" s="58">
        <v>0.2</v>
      </c>
      <c r="AJ16" s="58">
        <v>0.4</v>
      </c>
      <c r="AK16" s="58">
        <v>0.6</v>
      </c>
      <c r="AL16" s="58">
        <v>0.8</v>
      </c>
      <c r="AM16" s="58">
        <v>1</v>
      </c>
    </row>
    <row r="17" spans="1:54" x14ac:dyDescent="0.25">
      <c r="A17" s="76"/>
      <c r="B17" s="94"/>
      <c r="C17" s="20"/>
      <c r="D17" s="92"/>
      <c r="E17" s="20"/>
      <c r="F17" s="20"/>
      <c r="G17" s="20"/>
      <c r="H17" s="97">
        <v>0</v>
      </c>
      <c r="I17" s="93">
        <f>MIN(($J$2*N26+$K$2*N35)*EXP(-$M$2*$N$2)+$B$2*(1-I16)*$E$2,$I$23)</f>
        <v>106</v>
      </c>
      <c r="J17" s="93">
        <f>MIN(($J$2*N27+$K$2*N36)*EXP(-$M$2*$N$2)+$B$2*(1-J16)*$E$2,$J$23)</f>
        <v>84.800000000000011</v>
      </c>
      <c r="K17" s="93">
        <f>MIN(($J$2*N28+$K$2*N37)*EXP(-$M$2*$N$2)+$B$2*(1-K16)*$E$2,$K$23)</f>
        <v>63.599999999999994</v>
      </c>
      <c r="L17" s="93">
        <f>MIN(($J$2*N29+$K$2*N38)*EXP(-$M$2*$N$2)+$B$2*(1-L16)*$E$2,L23)</f>
        <v>42.400000000000006</v>
      </c>
      <c r="M17" s="93">
        <f>MIN(($J$2*N30+$K$2*N39)*EXP(-$M$2*$N$2)+$B$2*(1-M16)*$E$2,M23)</f>
        <v>21.199999999999996</v>
      </c>
      <c r="N17" s="93">
        <f>MIN(($J$2*N31+$K$2*N40)*EXP(-$M$2*$N$2)+$B$2*(1-N16)*$E$2,N23)</f>
        <v>0</v>
      </c>
      <c r="O17" s="84" t="s">
        <v>33</v>
      </c>
      <c r="P17" s="98">
        <f>MAX(($W$31*(1+L2*P16)*$J$2+W40*(1+L2*P16)*$K$2)*EXP(-$M$2*$N$2)+C24-$A$2*$D$2*(1-$C$2)-$B$2*$E$2*(1-P16)*(1-$C$2),0)</f>
        <v>200.71798568683977</v>
      </c>
      <c r="Q17" s="98">
        <f>MAX(($W$31*(1+L2*Q16)*$J$2+W40*(1+L2*Q16)*$K$2)*EXP(-$M$2*$N$2)+C24-$A$2*$D$2*(1-$C$2)-$B$2*$E$2*(1-Q16)*(1-$C$2),0)</f>
        <v>241.71275637382846</v>
      </c>
      <c r="R17" s="98">
        <f>MAX((W31*(1+L2*R16)*$J$2+W40*(1+L2*R16)*$K$2)*EXP(-$M$2*$N$2)+C24-$A$2*$D$2*(1-$C$2)-$B$2*$E$2*(1-R16)*(1-$C$2),0)</f>
        <v>282.70752706081714</v>
      </c>
      <c r="S17" s="98">
        <f>MAX((W31*(1+L2*S16)*$J$2+W40*(1+L2*S16)*$K$2)*EXP(-$M$2*$N$2)+C24-$A$2*$D$2*(1-$C$2)-$B$2*$E$2*(1-S16)*(1-$C$2),0)</f>
        <v>323.7022977478058</v>
      </c>
      <c r="T17" s="98">
        <f>MAX((W31*(1+L2*T16)*$J$2+W40*(1+L2*T16)*$K$2)*EXP(-$M$2*$N$2)+C24-$A$2*$D$2*(1-$C$2)-$B$2*$E$2*(1-T16)*(1-$C$2),0)</f>
        <v>364.69706843479446</v>
      </c>
      <c r="U17" s="98">
        <f>MAX((W31*(1+L2*U16)*$J$2+W40*(1+L2*U16)*$K$2)*EXP(-$M$2*$N$2)+C24-$A$2*$D$2*(1-$C$2)-$B$2*$E$2*(1-U16)*(1-$C$2),0)</f>
        <v>405.69183912178312</v>
      </c>
      <c r="V17" s="97">
        <v>0</v>
      </c>
      <c r="W17" s="93">
        <f>P17/(1+V17*$L$2)</f>
        <v>200.71798568683977</v>
      </c>
      <c r="X17" s="93">
        <f>P18/(1+V17*$L$2)</f>
        <v>299.69183912178312</v>
      </c>
      <c r="Y17" s="93">
        <f>P19/(1+V17*$L$2)</f>
        <v>405.69183912178312</v>
      </c>
      <c r="Z17" s="97">
        <v>0</v>
      </c>
      <c r="AA17" s="99">
        <f>IF(P18&gt;0,I17+(AA16-$Z$17)*$L$2*X17,IF((1-$O$2)*($C$14+$C$24)-$Q$2&gt;0,(1-$O$2)*($C$14+$C$24)-$Q$2,0))</f>
        <v>106</v>
      </c>
      <c r="AB17" s="100">
        <f>IF(Q18&gt;0,J17+(AB16-$Z$17)*$L$2*X18,IF((1-$O$2)*($C$14+$C$24)-$Q$2&gt;0,(1-$O$2)*($C$14+$C$24)-$Q$2,0))</f>
        <v>138.28197318696385</v>
      </c>
      <c r="AC17" s="100">
        <f>IF(R18&gt;0,K17+(AC16-$Z$17)*$L$2*X19,IF((1-$O$2)*($C$14+$C$24)-$Q$2&gt;0,(1-$O$2)*($C$14+$C$24)-$Q$2,0))</f>
        <v>161.34052546336659</v>
      </c>
      <c r="AD17" s="100">
        <f>IF(S18&gt;0,L17+(AD16-$Z$17)*$L$2*X20,IF((1-$O$2)*($C$14+$C$24)-$Q$2&gt;0,(1-$O$2)*($C$14+$C$24)-$Q$2,0))</f>
        <v>178.63443967066863</v>
      </c>
      <c r="AE17" s="100">
        <f>IF(T18&gt;0,M17+(AE16-$Z$17)*$L$2*X21,IF((1-$O$2)*($C$14+$C$24)-$Q$2&gt;0,(1-$O$2)*($C$14+$C$24)-$Q$2,0))</f>
        <v>192.08526183190361</v>
      </c>
      <c r="AF17" s="101">
        <f>IF(U18&gt;0,N17+(AF16-$Z$17)*$L$2*X22,IF((1-$O$2)*($C$14+$C$24)-$Q$2&gt;0,(1-$O$2)*($C$14+$C$24)-$Q$2,0))</f>
        <v>202.84591956089156</v>
      </c>
      <c r="AG17" s="59" t="s">
        <v>44</v>
      </c>
      <c r="AH17" s="154" t="s">
        <v>38</v>
      </c>
      <c r="AI17" s="154"/>
      <c r="AJ17" s="154"/>
      <c r="AK17" s="154"/>
      <c r="AL17" s="154"/>
      <c r="AM17" s="154"/>
      <c r="AW17" s="20"/>
      <c r="AX17" s="20"/>
      <c r="AY17" s="20"/>
      <c r="AZ17" s="20"/>
      <c r="BA17" s="20"/>
      <c r="BB17" s="20"/>
    </row>
    <row r="18" spans="1:54" x14ac:dyDescent="0.25">
      <c r="A18" s="20"/>
      <c r="B18" s="20"/>
      <c r="C18" s="102">
        <f>A16*I2</f>
        <v>200.11691562569553</v>
      </c>
      <c r="D18" s="20"/>
      <c r="E18" s="20"/>
      <c r="F18" s="20"/>
      <c r="G18" s="97"/>
      <c r="H18" s="97">
        <v>0.2</v>
      </c>
      <c r="I18" s="93"/>
      <c r="J18" s="93">
        <f>MIN(($J$2*N27+$K$2*N36)*EXP(-$M$2*$N$2)+$B$2*(1-J16)*$E$2,$J$23)</f>
        <v>84.800000000000011</v>
      </c>
      <c r="K18" s="93">
        <f>MIN(($J$2*N28+$K$2*N37)*EXP(-$M$2*$N$2)+$B$2*(1-K16)*$E$2,$K$23)</f>
        <v>63.599999999999994</v>
      </c>
      <c r="L18" s="93">
        <f>MIN(($J$2*N29+$K$2*N38)*EXP(-$M$2*$N$2)+$B$2*(1-L16)*$E$2,L23)</f>
        <v>42.400000000000006</v>
      </c>
      <c r="M18" s="93">
        <f>MIN(($J$2*N30+$K$2*N39)*EXP(-$M$2*$N$2)+$B$2*(1-M16)*$E$2,M23)</f>
        <v>21.199999999999996</v>
      </c>
      <c r="N18" s="93">
        <f>MIN(($J$2*N31+$K$2*N40)*EXP(-$M$2*$N$2)+$B$2*(1-N16)*$E$2,N23)</f>
        <v>0</v>
      </c>
      <c r="O18" s="84" t="s">
        <v>34</v>
      </c>
      <c r="P18" s="103">
        <f>MAX(($Y26*(1+L2*P16)*$J$2+$Y35*(1+L2*P16)*$K$2)*EXP(-$M$2*$N$2)+C24-$A$2*$D$2*(1-$C$2)-R2*(1-P16),0)</f>
        <v>299.69183912178312</v>
      </c>
      <c r="Q18" s="104">
        <f>MAX(($Y27*(1+L2*Q16)*$J$2+$Y36*(1+L2*Q16)*$K$2)*EXP(-$M$2*$N$2)+C24-$A$2*$D$2*(1-$C$2)-(1-Q16)*R2,0)</f>
        <v>320.89183912178311</v>
      </c>
      <c r="R18" s="104">
        <f>MAX(($Y28*(1+L2*R16)*$J$2+$Y37*(1+L2*R16)*$K$2)*EXP(-$M$2*$N$2)+C24-$A$2*$D$2*(1-$C$2)-R2*(1-R16),0)</f>
        <v>342.0918391217831</v>
      </c>
      <c r="S18" s="104">
        <f>MAX(($Y29*(1+L2*S16)*$J$2+$Y38*(1+L2*S16)*$K$2)*EXP(-$M$2*$N$2)+C24-$A$2*$D$2*(1-$C$2)-(1-S16)*R2,0)</f>
        <v>363.29183912178303</v>
      </c>
      <c r="T18" s="104">
        <f>MAX(($Y30*(1+L2*T16)*$J$2+$Y39*(1+L2*T16)*$K$2)*EXP(-$M$2*$N$2)+C24-$A$2*$D$2*(1-$C$2)-(1-T16)*R2,0)</f>
        <v>384.49183912178313</v>
      </c>
      <c r="U18" s="104">
        <f>MAX(($Y31*(1+L2*U16)*$J$2+$Y40*(1+L2*U16)*$K$2)*EXP(-$M$2*$N$2)+C24-$A$2*$D$2*(1-$C$2)-(1-U16)*R2,0)</f>
        <v>405.69183912178312</v>
      </c>
      <c r="V18" s="97">
        <v>0.2</v>
      </c>
      <c r="W18" s="93">
        <f>Q17/(1+V18*$L$2)</f>
        <v>201.42729697819038</v>
      </c>
      <c r="X18" s="93">
        <f>Q18/(1+V18*$L$2)</f>
        <v>267.40986593481927</v>
      </c>
      <c r="Y18" s="93">
        <f>Q19/(1+V18*$L$2)</f>
        <v>338.07653260148595</v>
      </c>
      <c r="Z18" s="97">
        <v>0.2</v>
      </c>
      <c r="AA18" s="105"/>
      <c r="AB18" s="99">
        <f>IF(Q18&gt;0,J18+(AB16-$Z$18)*$L$2*X18,IF((1-$O$2)*($C$14+$C$24)-$Q$2&gt;0,(1-$O$2)*($C$14+$C$24)-$Q$2,0))</f>
        <v>84.800000000000011</v>
      </c>
      <c r="AC18" s="99">
        <f>IF(R18&gt;0,K18+(AC16-$Z$18)*$L$2*X19,IF((1-$O$2)*($C$14+$C$24)-$Q$2&gt;0,(1-$O$2)*($C$14+$C$24)-$Q$2,0))</f>
        <v>112.47026273168331</v>
      </c>
      <c r="AD18" s="99">
        <f>IF(S18&gt;0,L18+(AD16-$Z$18)*$L$2*X20,IF((1-$O$2)*($C$14+$C$24)-$Q$2&gt;0,(1-$O$2)*($C$14+$C$24)-$Q$2,0))</f>
        <v>133.22295978044576</v>
      </c>
      <c r="AE18" s="99">
        <f>IF(T18&gt;0,M18+(AE16-$Z$18)*$L$2*X21,IF((1-$O$2)*($C$14+$C$24)-$Q$2&gt;0,(1-$O$2)*($C$14+$C$24)-$Q$2,0))</f>
        <v>149.36394637392772</v>
      </c>
      <c r="AF18" s="101">
        <f>IF(U18&gt;0,N18+(AF16-$Z$18)*$L$2*X22,IF((1-$O$2)*($C$14+$C$24)-$Q$2&gt;0,(1-$O$2)*($C$14+$C$24)-$Q$2,0))</f>
        <v>162.27673564871327</v>
      </c>
      <c r="AG18" s="59" t="s">
        <v>45</v>
      </c>
      <c r="AH18" s="59">
        <f>IF(P18&gt;0,(AA28*$J$2+AA36*$K$2)*EXP(-$M$2*$N$2)+$A$2*$D$2,MIN($Q$2,(1-$O$2)*$C$14*EXP(S2*N2)))</f>
        <v>109.71056962709886</v>
      </c>
      <c r="AI18" s="59">
        <f>IF(Q18&gt;0,(AB28*$J$2+AB36*$K$2)*EXP(-$M$2*$N$2)+$A$2*$D$2,MIN($Q$2,(1-$O$2)*$C$14*EXP(S2*N2)))</f>
        <v>109.71056962709886</v>
      </c>
      <c r="AJ18" s="59">
        <f>IF(R18&gt;0,(AC28*$J$2+AC36*$K$2)*EXP(-$M$2*$N$2)+$A$2*$D$2,MIN($Q$2,(1-$O$2)*$C$14*EXP(S2*N2)))</f>
        <v>109.71056962709886</v>
      </c>
      <c r="AK18" s="59">
        <f>IF(S18&gt;0,(AD28*$J$2+AD36*$K$2)*EXP(-$M$2*$N$2)+$A$2*$D$2,MIN($Q$2,(1-$O$2)*$C$14*EXP(S2*N2)))</f>
        <v>109.71056962709886</v>
      </c>
      <c r="AL18" s="59">
        <f>IF(T18&gt;0,(AE28*$J$2+AE36*$K$2)*EXP(-$M$2*$N$2)+$A$2*$D$2,MIN($Q$2,(1-$O$2)*$C$14*EXP(S2*N2)))</f>
        <v>109.71056962709886</v>
      </c>
      <c r="AM18" s="59">
        <f>IF(U18&gt;0,(AF28*$J$2+AF36*$K$2)*EXP(-$M$2*$N$2)+$A$2*$D$2,MIN($Q$2,(1-$O$2)*$C$14*EXP(S2*N2)))</f>
        <v>109.71056962709886</v>
      </c>
      <c r="AW18" s="20"/>
      <c r="AX18" s="20"/>
      <c r="AY18" s="20"/>
      <c r="AZ18" s="20"/>
      <c r="BA18" s="20"/>
      <c r="BB18" s="20"/>
    </row>
    <row r="19" spans="1:54" x14ac:dyDescent="0.25">
      <c r="A19" s="20"/>
      <c r="B19" s="20"/>
      <c r="C19" s="20"/>
      <c r="D19" s="94"/>
      <c r="E19" s="20"/>
      <c r="F19" s="20"/>
      <c r="G19" s="97"/>
      <c r="H19" s="97">
        <v>0.4</v>
      </c>
      <c r="I19" s="93"/>
      <c r="J19" s="93"/>
      <c r="K19" s="93">
        <f>MIN(($J$2*N28+$K$2*N37)*EXP(-$M$2*$N$2)+$B$2*(1-K16)*$E$2,$K$23)</f>
        <v>63.599999999999994</v>
      </c>
      <c r="L19" s="93">
        <f>MIN(($J$2*N29+$K$2*N38)*EXP(-$M$2*$N$2)+$B$2*(1-L16)*$E$2,L23)</f>
        <v>42.400000000000006</v>
      </c>
      <c r="M19" s="93">
        <f>MIN(($J$2*N30+$K$2*N39)*EXP(-$M$2*$N$2)+$B$2*(1-M16)*$E$2,M23)</f>
        <v>21.199999999999996</v>
      </c>
      <c r="N19" s="93">
        <f>MIN(($J$2*N31+$K$2*N40)*EXP(-$M$2*$N$2)+$B$2*(1-N16)*$E$2,N23)</f>
        <v>0</v>
      </c>
      <c r="O19" s="84" t="s">
        <v>35</v>
      </c>
      <c r="P19" s="106">
        <f>MAX(($Y26*(1+L2*P16)*$J$2+$Y35*(1+L2*P16)*$K$2)*EXP(-$M$2*$N$2)+C24-$A$2*$D$2*(1-$C$2),0)</f>
        <v>405.69183912178312</v>
      </c>
      <c r="Q19" s="106">
        <f>MAX(($Y27*(1+L2*Q16)*$J$2+$Y36*(1+L2*Q16)*$K$2)*EXP(-$M$2*$N$2)+C24-$A$2*$D$2*(1-$C$2),0)</f>
        <v>405.69183912178312</v>
      </c>
      <c r="R19" s="106">
        <f>MAX(($Y28*(1+L2*R16)*$J$2+$Y37*(1+L2*R16)*$K$2)*EXP(-$M$2*$N$2)+C24-$A$2*$D$2*(1-$C$2),0)</f>
        <v>405.69183912178312</v>
      </c>
      <c r="S19" s="106">
        <f>MAX(($Y29*(1+L2*S16)*$J$2+$Y38*(1+L2*S16)*$K$2)*EXP(-$M$2*$N$2)+C24-$A$2*$D$2*(1-$C$2),0)</f>
        <v>405.69183912178306</v>
      </c>
      <c r="T19" s="106">
        <f>MAX(($Y30*(1+L2*T16)*$J$2+$Y39*(1+L2*T16)*$K$2)*EXP(-$M$2*$N$2)+C24-$A$2*$D$2*(1-$C$2),0)</f>
        <v>405.69183912178312</v>
      </c>
      <c r="U19" s="106">
        <f>MAX(($Y31*(1+L2*U16)*$J$2+$Y40*(1+L2*U16)*$K$2)*EXP(-$M$2*$N$2)+C24-$A$2*$D$2*(1-$C$2),0)</f>
        <v>405.69183912178312</v>
      </c>
      <c r="V19" s="97">
        <v>0.4</v>
      </c>
      <c r="W19" s="93">
        <f>R17/(1+V19*$L$2)</f>
        <v>201.93394790058369</v>
      </c>
      <c r="X19" s="93">
        <f>R18/(1+V19*$L$2)</f>
        <v>244.3513136584165</v>
      </c>
      <c r="Y19" s="93">
        <f>R19/(1+V19*$L$2)</f>
        <v>289.77988508698797</v>
      </c>
      <c r="Z19" s="97">
        <v>0.4</v>
      </c>
      <c r="AA19" s="105"/>
      <c r="AB19" s="93"/>
      <c r="AC19" s="99">
        <f>IF(R18&gt;0,K19+(AC16-$Z$19)*$L$2*X19,IF((1-$O$2)*($C$14+$C$24)-$Q$2&gt;0,(1-$O$2)*($C$14+$C$24)-$Q$2,0))</f>
        <v>63.599999999999994</v>
      </c>
      <c r="AD19" s="99">
        <f>IF(S18&gt;0,L19+(AD16-$Z$19)*$L$2*X20,IF((1-$O$2)*($C$14+$C$24)-$Q$2&gt;0,(1-$O$2)*($C$14+$C$24)-$Q$2,0))</f>
        <v>87.81147989022287</v>
      </c>
      <c r="AE19" s="99">
        <f>IF(T18&gt;0,M19+(AE16-$Z$19)*$L$2*X21,IF((1-$O$2)*($C$14+$C$24)-$Q$2&gt;0,(1-$O$2)*($C$14+$C$24)-$Q$2,0))</f>
        <v>106.6426309159518</v>
      </c>
      <c r="AF19" s="101">
        <f>IF(U18&gt;0,N19+(AF16-$Z$19)*$L$2*X22,IF((1-$O$2)*($C$14+$C$24)-$Q$2&gt;0,(1-$O$2)*($C$14+$C$24)-$Q$2,0))</f>
        <v>121.70755173653492</v>
      </c>
      <c r="AG19" s="59" t="s">
        <v>42</v>
      </c>
      <c r="AH19" s="59">
        <f>IF(P19&gt;0,(AA28*$J$2+AA36*$K$2)*EXP(-$M$2*$N$2)+$A$2*$D$2,MIN((1-$O$2)*$C$14*EXP(S2*N2),Q2))</f>
        <v>109.71056962709886</v>
      </c>
      <c r="AI19" s="59">
        <f>IF(Q19&gt;0,(AB28*$J$2+AB36*$K$2)*EXP(-$M$2*$N$2)+$A$2*$D$2,MIN((1-$O$2)*$C$14*EXP(S2*N2),Q2))</f>
        <v>109.71056962709886</v>
      </c>
      <c r="AJ19" s="59">
        <f>IF(R19&gt;0,(AC28*$J$2+AC36*$K$2)*EXP(-$M$2*$N$2)+$A$2*$D$2,MIN((1-$O$2)*$C$14*EXP(S2*N2),Q2))</f>
        <v>109.71056962709886</v>
      </c>
      <c r="AK19" s="59">
        <f>IF(S19&gt;0,(AD28*$J$2+AD36*$K$2)*EXP(-$M$2*$N$2)+$A$2*$D$2,MIN((1-$O$2)*$C$14*EXP(S2*N2),Q2))</f>
        <v>109.71056962709886</v>
      </c>
      <c r="AL19" s="59">
        <f>IF(T19&gt;0,(AE28*$J$2+AE36*$K$2)*EXP(-$M$2*$N$2)+$A$2*$D$2,MIN((1-$O$2)*$C$14*EXP(S2*N2),Q2))</f>
        <v>109.71056962709886</v>
      </c>
      <c r="AM19" s="59">
        <f>IF(U19&gt;0,(AF28*$J$2+AF36*$K$2)*EXP(-$M$2*$N$2)+$A$2*$D$2,MIN((1-$O$2)*$C$14*EXP(S2*N2),Q2))</f>
        <v>109.71056962709886</v>
      </c>
    </row>
    <row r="20" spans="1:54" x14ac:dyDescent="0.25">
      <c r="A20" s="20"/>
      <c r="B20" s="20"/>
      <c r="C20" s="20"/>
      <c r="D20" s="20"/>
      <c r="E20" s="107">
        <f>C18*I2</f>
        <v>126.33053602379098</v>
      </c>
      <c r="F20" s="20"/>
      <c r="G20" s="97"/>
      <c r="H20" s="97">
        <v>0.6</v>
      </c>
      <c r="I20" s="93"/>
      <c r="J20" s="93"/>
      <c r="K20" s="93"/>
      <c r="L20" s="93">
        <f>MIN(($J$2*N29+$K$2*N38)*EXP(-$M$2*$N$2)+$B$2*(1-L16)*$E$2,L23)</f>
        <v>42.400000000000006</v>
      </c>
      <c r="M20" s="93">
        <f>MIN(($J$2*N30+$K$2*N39)*EXP(-$M$2*$N$2)+$B$2*(1-M16)*$E$2,M23)</f>
        <v>21.199999999999996</v>
      </c>
      <c r="N20" s="93">
        <f>MIN(($J$2*N31+$K$2*N40)*EXP(-$M$2*$N$2)+$B$2*(1-N16)*$E$2,N23)</f>
        <v>0</v>
      </c>
      <c r="O20" s="97"/>
      <c r="P20" s="108"/>
      <c r="Q20" s="108"/>
      <c r="R20" s="108"/>
      <c r="S20" s="108"/>
      <c r="T20" s="108"/>
      <c r="U20" s="108"/>
      <c r="V20" s="97">
        <v>0.6</v>
      </c>
      <c r="W20" s="93">
        <f>S17/(1+V20*$L$2)</f>
        <v>202.31393609237861</v>
      </c>
      <c r="X20" s="93">
        <f>S18/(1+V20*$L$2)</f>
        <v>227.05739945111438</v>
      </c>
      <c r="Y20" s="93">
        <f>S19/(1+V20*$L$2)</f>
        <v>253.55739945111441</v>
      </c>
      <c r="Z20" s="97">
        <v>0.6</v>
      </c>
      <c r="AA20" s="105"/>
      <c r="AB20" s="93"/>
      <c r="AC20" s="93"/>
      <c r="AD20" s="99">
        <f>IF(S18&gt;0,L20+(AD16-$Z$20)*$L$2*X20,IF((1-$O$2)*($C$14+$C$24)-$Q$2&gt;0,(1-$O$2)*($C$14+$C$24)-$Q$2,0))</f>
        <v>42.400000000000006</v>
      </c>
      <c r="AE20" s="99">
        <f>IF(T18&gt;0,M20+(AE16-$Z$20)*$L$2*X21,IF((1-$O$2)*($C$14+$C$24)-$Q$2&gt;0,(1-$O$2)*($C$14+$C$24)-$Q$2,0))</f>
        <v>63.921315457975915</v>
      </c>
      <c r="AF20" s="101">
        <f>IF(U18&gt;0,N20+(AF16-$Z$20)*$L$2*X22,IF((1-$O$2)*($C$14+$C$24)-$Q$2&gt;0,(1-$O$2)*($C$14+$C$24)-$Q$2,0))</f>
        <v>81.138367824356635</v>
      </c>
      <c r="AG20" s="20"/>
      <c r="AH20" s="20"/>
      <c r="AI20" s="20"/>
      <c r="AJ20" s="20"/>
      <c r="AK20" s="20"/>
      <c r="AL20" s="20"/>
      <c r="AM20" s="20"/>
    </row>
    <row r="21" spans="1:54" x14ac:dyDescent="0.25">
      <c r="A21" s="20"/>
      <c r="B21" s="20"/>
      <c r="C21" s="20"/>
      <c r="D21" s="20"/>
      <c r="E21" s="20"/>
      <c r="F21" s="20"/>
      <c r="G21" s="97"/>
      <c r="H21" s="97">
        <v>0.8</v>
      </c>
      <c r="I21" s="93"/>
      <c r="J21" s="93"/>
      <c r="K21" s="93"/>
      <c r="L21" s="93"/>
      <c r="M21" s="93">
        <f>MIN(($J$2*N30+$K$2*N39)*EXP(-$M$2*$N$2)+$B$2*(1-M16)*$E$2,M23)</f>
        <v>21.199999999999996</v>
      </c>
      <c r="N21" s="93">
        <f>MIN(($J$2*N31+$K$2*N40)*EXP(-$M$2*$N$2)+$B$2*(1-N16)*$E$2,N23)</f>
        <v>0</v>
      </c>
      <c r="O21" s="97"/>
      <c r="P21" s="108"/>
      <c r="Q21" s="108"/>
      <c r="R21" s="108"/>
      <c r="S21" s="108"/>
      <c r="T21" s="108"/>
      <c r="U21" s="108"/>
      <c r="V21" s="97">
        <v>0.8</v>
      </c>
      <c r="W21" s="93">
        <f>T17/(1+V21*$L$2)</f>
        <v>202.6094824637747</v>
      </c>
      <c r="X21" s="93">
        <f>T18/(1+V21*$L$2)</f>
        <v>213.60657728987951</v>
      </c>
      <c r="Y21" s="93">
        <f>T19/(1+V21*$L$2)</f>
        <v>225.38435506765728</v>
      </c>
      <c r="Z21" s="97">
        <v>0.8</v>
      </c>
      <c r="AA21" s="105"/>
      <c r="AB21" s="93"/>
      <c r="AC21" s="93"/>
      <c r="AD21" s="93"/>
      <c r="AE21" s="99">
        <f>IF(T18&gt;0,M21+(AE16-$Z$21)*$L$2*X21,IF((1-$O$2)*($C$14+$C$24)-$Q$2&gt;0,(1-$O$2)*($C$14+$C$24)-$Q$2,0))</f>
        <v>21.199999999999996</v>
      </c>
      <c r="AF21" s="101">
        <f>IF(U18&gt;0,N21+(AF16-$Z$21)*$L$2*X22,IF((1-$O$2)*($C$14+$C$24)-$Q$2&gt;0,(1-$O$2)*($C$14+$C$24)-$Q$2,0))</f>
        <v>40.569183912178303</v>
      </c>
      <c r="AG21" s="20"/>
      <c r="AH21" s="20"/>
      <c r="AI21" s="20"/>
      <c r="AJ21" s="20"/>
      <c r="AK21" s="20"/>
      <c r="AL21" s="20"/>
      <c r="AM21" s="20"/>
    </row>
    <row r="22" spans="1:54" x14ac:dyDescent="0.25">
      <c r="A22" s="20"/>
      <c r="B22" s="20"/>
      <c r="C22" s="20"/>
      <c r="D22" s="20"/>
      <c r="E22" s="20">
        <f>E12*(EXP(S2*N2)-1)</f>
        <v>16.069056000572676</v>
      </c>
      <c r="F22" s="20">
        <f>E12+E22</f>
        <v>811.51410961037902</v>
      </c>
      <c r="G22" s="97"/>
      <c r="H22" s="97">
        <v>1</v>
      </c>
      <c r="I22" s="93"/>
      <c r="J22" s="93"/>
      <c r="K22" s="93"/>
      <c r="L22" s="93"/>
      <c r="M22" s="93"/>
      <c r="N22" s="93">
        <f>MIN(($J$2*N31+$K$2*N40)*EXP(-$M$2*$N$2)+$B$2*(1-N16)*$E$2,N23)</f>
        <v>0</v>
      </c>
      <c r="O22" s="97"/>
      <c r="P22" s="108"/>
      <c r="Q22" s="108"/>
      <c r="R22" s="108"/>
      <c r="S22" s="108"/>
      <c r="T22" s="108"/>
      <c r="U22" s="108"/>
      <c r="V22" s="97">
        <v>1</v>
      </c>
      <c r="W22" s="93">
        <f>U17/(1+V22*$L$2)</f>
        <v>202.84591956089156</v>
      </c>
      <c r="X22" s="93">
        <f>U18/(1+V22*$L$2)</f>
        <v>202.84591956089156</v>
      </c>
      <c r="Y22" s="93">
        <f>U19/(1+V22*$L$2)</f>
        <v>202.84591956089156</v>
      </c>
      <c r="Z22" s="97">
        <v>1</v>
      </c>
      <c r="AA22" s="105"/>
      <c r="AB22" s="105"/>
      <c r="AC22" s="105"/>
      <c r="AD22" s="105"/>
      <c r="AE22" s="105"/>
      <c r="AF22" s="101">
        <f>IF(U18&gt;0,N22+(AF16-$Z$22)*$L$2*X22,IF((1-$O$2)*($C$14+$C$24)-$Q$2&gt;0,(1-$O$2)*($C$14+$C$24)-$Q$2,0))</f>
        <v>0</v>
      </c>
      <c r="AG22" s="20"/>
      <c r="AH22" s="20"/>
      <c r="AI22" s="20"/>
      <c r="AJ22" s="20"/>
      <c r="AK22" s="20"/>
      <c r="AL22" s="20"/>
      <c r="AM22" s="20"/>
    </row>
    <row r="23" spans="1:54" x14ac:dyDescent="0.25">
      <c r="A23" s="20"/>
      <c r="B23" s="20"/>
      <c r="C23" s="20"/>
      <c r="D23" s="20"/>
      <c r="E23" s="20"/>
      <c r="F23" s="20"/>
      <c r="G23" s="20"/>
      <c r="H23" s="20" t="s">
        <v>37</v>
      </c>
      <c r="I23" s="109">
        <f t="shared" ref="I23:N23" si="3">$R$2*(1-I$16)</f>
        <v>106</v>
      </c>
      <c r="J23" s="109">
        <f t="shared" si="3"/>
        <v>84.800000000000011</v>
      </c>
      <c r="K23" s="109">
        <f t="shared" si="3"/>
        <v>63.599999999999994</v>
      </c>
      <c r="L23" s="109">
        <f t="shared" si="3"/>
        <v>42.400000000000006</v>
      </c>
      <c r="M23" s="109">
        <f t="shared" si="3"/>
        <v>21.199999999999996</v>
      </c>
      <c r="N23" s="109">
        <f t="shared" si="3"/>
        <v>0</v>
      </c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54" x14ac:dyDescent="0.25">
      <c r="A24" s="20"/>
      <c r="B24" s="20"/>
      <c r="C24" s="20">
        <f>C14*(EXP(S2*N2)-1)</f>
        <v>10.144132251896462</v>
      </c>
      <c r="D24" s="20"/>
      <c r="E24" s="20"/>
      <c r="F24" s="20"/>
      <c r="G24" s="20" t="s">
        <v>12</v>
      </c>
      <c r="H24" s="91"/>
      <c r="I24" s="110"/>
      <c r="J24" s="110"/>
      <c r="K24" s="110"/>
      <c r="L24" s="110"/>
      <c r="M24" s="110"/>
      <c r="N24" s="11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54" x14ac:dyDescent="0.25">
      <c r="A25" s="20"/>
      <c r="B25" s="20"/>
      <c r="C25" s="20"/>
      <c r="D25" s="20"/>
      <c r="E25" s="20"/>
      <c r="F25" s="20"/>
      <c r="G25" s="20"/>
      <c r="H25" s="91" t="s">
        <v>19</v>
      </c>
      <c r="I25" s="84">
        <v>0</v>
      </c>
      <c r="J25" s="84">
        <v>0.2</v>
      </c>
      <c r="K25" s="84">
        <v>0.4</v>
      </c>
      <c r="L25" s="84">
        <v>0.6</v>
      </c>
      <c r="M25" s="84">
        <v>0.8</v>
      </c>
      <c r="N25" s="84">
        <v>1</v>
      </c>
      <c r="O25" s="84" t="s">
        <v>14</v>
      </c>
      <c r="P25" s="84">
        <v>0</v>
      </c>
      <c r="Q25" s="84">
        <v>0.2</v>
      </c>
      <c r="R25" s="84">
        <v>0.4</v>
      </c>
      <c r="S25" s="84">
        <v>0.6</v>
      </c>
      <c r="T25" s="84">
        <v>0.8</v>
      </c>
      <c r="U25" s="84">
        <v>1</v>
      </c>
      <c r="V25" s="91" t="s">
        <v>15</v>
      </c>
      <c r="W25" s="79" t="s">
        <v>33</v>
      </c>
      <c r="X25" s="60" t="s">
        <v>34</v>
      </c>
      <c r="Y25" s="60" t="s">
        <v>35</v>
      </c>
      <c r="Z25" s="59" t="s">
        <v>43</v>
      </c>
      <c r="AA25" s="58">
        <v>0</v>
      </c>
      <c r="AB25" s="58">
        <v>0.2</v>
      </c>
      <c r="AC25" s="58">
        <v>0.4</v>
      </c>
      <c r="AD25" s="58">
        <v>0.6</v>
      </c>
      <c r="AE25" s="58">
        <v>0.8</v>
      </c>
      <c r="AF25" s="58">
        <v>1</v>
      </c>
      <c r="AG25" s="20"/>
      <c r="AH25" s="111"/>
      <c r="AI25" s="112"/>
      <c r="AJ25" s="112"/>
      <c r="AK25" s="112"/>
      <c r="AL25" s="112"/>
      <c r="AM25" s="112"/>
      <c r="AN25" s="45"/>
      <c r="AO25" s="44"/>
    </row>
    <row r="26" spans="1:54" x14ac:dyDescent="0.25">
      <c r="A26" s="20">
        <v>0</v>
      </c>
      <c r="B26" s="20"/>
      <c r="C26" s="20"/>
      <c r="D26" s="20"/>
      <c r="E26" s="20">
        <f>E16*(EXP(S2*N2)-1)</f>
        <v>6.4038247884815807</v>
      </c>
      <c r="F26" s="20">
        <f>E16+E26</f>
        <v>323.40382478848159</v>
      </c>
      <c r="G26" s="20"/>
      <c r="H26" s="84">
        <v>0</v>
      </c>
      <c r="I26" s="113">
        <f>IF($F$22&gt;$D$5,IF($B$2*(1+$E$2)&lt;$R$2,$B$2*(1-I$25)+$B$2*$E$2*(1-I$25)+$L$2*$W26*(I$25-$H26),$R$2*(1-I$25)+$L$2*$X26*(I$25-$H26)),IF($F$22*(1-$O$2)&gt;$P$2,$F$22*(1-$O$2)-$P$2,0))</f>
        <v>105</v>
      </c>
      <c r="J26" s="113">
        <f>IF($F$22&gt;$D$6,IF($B$2*(1+$E$2)&lt;$R$2,$B$2*(1-J$25)+$B$2*$E$2*(1-J$25)+$L$2*$W$27*(J$25-$H26),$R$2*(1-J$25)+$L$2*$X$27*(J$25-$H26)),IF($F$22*(1-$O$2)&gt;$P$2,$F$22*(1-$O$2)-$P$2,0))</f>
        <v>187.65235160172983</v>
      </c>
      <c r="K26" s="113">
        <f>IF($F$22&gt;$D$7,IF($B$2*(1+$E$2)&lt;$R$2,$B$2*(1-K$25)+$B$2*$E$2*(1-K$25)+$L$2*$W$28*(K$25-$H26),$R$2*(1-K$25)+$L$2*$X$28*(K$25-$H26)),IF($F$22*(1-$O$2)&gt;$P$2,$F$22*(1-$O$2)-$P$2,0))</f>
        <v>246.63260274582262</v>
      </c>
      <c r="L26" s="113">
        <f>IF($F$22&gt;$D$8,IF($B$2*(1+$E$2)&lt;$R$2,$B$2*(1-L$25)+$B$2*$E$2*(1-L$25)+$L$2*$W$29*(L$25-$H26),$R$2*(1-L$25)+$L$2*$X$29*(L$25-$H26)),IF($F$22*(1-$O$2)&gt;$P$2,$F$22*(1-$O$2)-$P$2,0))</f>
        <v>290.81779110389209</v>
      </c>
      <c r="M26" s="113">
        <f>IF($F$22&gt;$D$9,IF($B$2*(1+$E$2)&lt;$R$2,$B$2*(1-M$25)+$B$2*$E$2*(1-M$25)+$L$2*$W$30*(M$25-$H26),$R$2*(1-M$25)+$L$2*$X$30*(M$25-$H26)),IF($F$22*(1-$O$2)&gt;$P$2,$F$22*(1-$O$2)-$P$2,0))</f>
        <v>325.13960427127961</v>
      </c>
      <c r="N26" s="114">
        <f t="shared" ref="N26:N31" si="4">IF($F$22&gt;$D$10,IF($B$2*(1+$E$2)&lt;$R$2,$B$2*(1-N$25)+$B$2*$E$2*(1-N$25)+$L$2*$W$31*(N$25-$H26),$R$2*(1-N$25)+$L$2*$X$31*(N$25-$H26)),IF($F$22*(1-$O$2)&gt;$P$2,$F$22*(1-$O$2)-$P$2,0))</f>
        <v>352.55705480518952</v>
      </c>
      <c r="O26" s="84" t="s">
        <v>33</v>
      </c>
      <c r="P26" s="113">
        <f t="shared" ref="P26:U26" si="5">MAX($F$22-$P$2+$A$2*$D$2*$C$2-$B$2*(1-P25)-$B$2*(1-P25)*(1-$C$2)*$E$2,0)</f>
        <v>601.11410961037905</v>
      </c>
      <c r="Q26" s="113">
        <f t="shared" si="5"/>
        <v>621.914109610379</v>
      </c>
      <c r="R26" s="113">
        <f t="shared" si="5"/>
        <v>642.71410961037907</v>
      </c>
      <c r="S26" s="113">
        <f t="shared" si="5"/>
        <v>663.51410961037902</v>
      </c>
      <c r="T26" s="113">
        <f t="shared" si="5"/>
        <v>684.31410961037909</v>
      </c>
      <c r="U26" s="113">
        <f t="shared" si="5"/>
        <v>705.11410961037905</v>
      </c>
      <c r="V26" s="84">
        <v>0</v>
      </c>
      <c r="W26" s="91">
        <f>P26/(1+$L$2*V26)</f>
        <v>601.11410961037905</v>
      </c>
      <c r="X26" s="115">
        <f>P27/(1+$L$2*V26)</f>
        <v>599.11410961037905</v>
      </c>
      <c r="Y26" s="91">
        <f>P$28/(1+$L$2*V26)</f>
        <v>705.11410961037905</v>
      </c>
      <c r="Z26" s="59" t="s">
        <v>44</v>
      </c>
      <c r="AA26" s="59">
        <f t="shared" ref="AA26:AF28" si="6">IF(P26&gt;0,$P$2,MIN((1-$O$2)*$F$22,$P$2))</f>
        <v>108</v>
      </c>
      <c r="AB26" s="59">
        <f t="shared" si="6"/>
        <v>108</v>
      </c>
      <c r="AC26" s="59">
        <f t="shared" si="6"/>
        <v>108</v>
      </c>
      <c r="AD26" s="59">
        <f t="shared" si="6"/>
        <v>108</v>
      </c>
      <c r="AE26" s="59">
        <f t="shared" si="6"/>
        <v>108</v>
      </c>
      <c r="AF26" s="59">
        <f t="shared" si="6"/>
        <v>108</v>
      </c>
      <c r="AG26" s="20"/>
      <c r="AH26" s="111"/>
      <c r="AI26" s="111"/>
      <c r="AJ26" s="111"/>
      <c r="AK26" s="111"/>
      <c r="AL26" s="111"/>
      <c r="AM26" s="111"/>
      <c r="AN26" s="46"/>
      <c r="AO26" s="46"/>
    </row>
    <row r="27" spans="1:54" x14ac:dyDescent="0.25">
      <c r="A27" s="20"/>
      <c r="B27" s="20"/>
      <c r="C27" s="20"/>
      <c r="D27" s="20"/>
      <c r="E27" s="20"/>
      <c r="F27" s="20"/>
      <c r="G27" s="20"/>
      <c r="H27" s="84">
        <v>0.2</v>
      </c>
      <c r="I27" s="113"/>
      <c r="J27" s="113">
        <f>IF($F$22&gt;$D$6,IF($B$2*(1+$E$2)&lt;$R$2,$B$2*(1-J$25)+$B$2*$E$2*(1-J$25)+$L$2*$W$27*(J$25-$H27),$R$2*(1-J$25)+$L$2*$X$27*(J$25-$H27)),IF($F$22*(1-$O$2)&gt;$P$2,$F$22*(1-$O$2)-$P$2,0))</f>
        <v>84</v>
      </c>
      <c r="K27" s="113">
        <f>IF($F$22&gt;$D$7,IF($B$2*(1+$E$2)&lt;$R$2,$B$2*(1-K$25)+$B$2*$E$2*(1-K$25)+$L$2*$W$28*(K$25-$H27),$R$2*(1-K$25)+$L$2*$X$28*(K$25-$H27)),IF($F$22*(1-$O$2)&gt;$P$2,$F$22*(1-$O$2)-$P$2,0))</f>
        <v>154.81630137291131</v>
      </c>
      <c r="L27" s="113">
        <f>IF($F$22&gt;$D$8,IF($B$2*(1+$E$2)&lt;$R$2,$B$2*(1-L$25)+$B$2*$E$2*(1-L$25)+$L$2*$W$29*(L$25-$H27),$R$2*(1-L$25)+$L$2*$X$29*(L$25-$H27)),IF($F$22*(1-$O$2)&gt;$P$2,$F$22*(1-$O$2)-$P$2,0))</f>
        <v>207.87852740259473</v>
      </c>
      <c r="M27" s="113">
        <f>IF($F$22&gt;$D$9,IF($B$2*(1+$E$2)&lt;$R$2,$B$2*(1-M$25)+$B$2*$E$2*(1-M$25)+$L$2*$W$30*(M$25-$H27),$R$2*(1-M$25)+$L$2*$X$30*(M$25-$H27)),IF($F$22*(1-$O$2)&gt;$P$2,$F$22*(1-$O$2)-$P$2,0))</f>
        <v>249.10470320345974</v>
      </c>
      <c r="N27" s="114">
        <f t="shared" si="4"/>
        <v>282.04564384415164</v>
      </c>
      <c r="O27" s="84" t="s">
        <v>34</v>
      </c>
      <c r="P27" s="116">
        <f t="shared" ref="P27:U27" si="7">MAX($F$22-$P$2+$A$2*$D$2*$C$2-(1-P25)*$R$2,0)</f>
        <v>599.11410961037905</v>
      </c>
      <c r="Q27" s="116">
        <f t="shared" si="7"/>
        <v>620.31410961037909</v>
      </c>
      <c r="R27" s="116">
        <f t="shared" si="7"/>
        <v>641.51410961037902</v>
      </c>
      <c r="S27" s="116">
        <f t="shared" si="7"/>
        <v>662.71410961037907</v>
      </c>
      <c r="T27" s="116">
        <f t="shared" si="7"/>
        <v>683.914109610379</v>
      </c>
      <c r="U27" s="116">
        <f t="shared" si="7"/>
        <v>705.11410961037905</v>
      </c>
      <c r="V27" s="84">
        <v>0.2</v>
      </c>
      <c r="W27" s="91">
        <f>Q26/(1+$L$2*V27)</f>
        <v>518.26175800864917</v>
      </c>
      <c r="X27" s="115">
        <f>Q27/(1+$L$2*V27)</f>
        <v>516.92842467531591</v>
      </c>
      <c r="Y27" s="91">
        <f>Q$28/(1+$L$2*V27)</f>
        <v>587.59509134198254</v>
      </c>
      <c r="Z27" s="59" t="s">
        <v>45</v>
      </c>
      <c r="AA27" s="59">
        <f t="shared" si="6"/>
        <v>108</v>
      </c>
      <c r="AB27" s="59">
        <f t="shared" si="6"/>
        <v>108</v>
      </c>
      <c r="AC27" s="59">
        <f t="shared" si="6"/>
        <v>108</v>
      </c>
      <c r="AD27" s="59">
        <f t="shared" si="6"/>
        <v>108</v>
      </c>
      <c r="AE27" s="59">
        <f t="shared" si="6"/>
        <v>108</v>
      </c>
      <c r="AF27" s="59">
        <f t="shared" si="6"/>
        <v>108</v>
      </c>
      <c r="AG27" s="20"/>
      <c r="AH27" s="111"/>
      <c r="AI27" s="111"/>
      <c r="AJ27" s="111"/>
      <c r="AK27" s="111"/>
      <c r="AL27" s="111"/>
      <c r="AM27" s="111"/>
      <c r="AN27" s="46"/>
      <c r="AO27" s="46"/>
    </row>
    <row r="28" spans="1:54" x14ac:dyDescent="0.25">
      <c r="A28" s="20"/>
      <c r="B28" s="20"/>
      <c r="C28" s="20">
        <f>C18*(EXP(S2*N2)-1)</f>
        <v>4.0426298576602715</v>
      </c>
      <c r="D28" s="20"/>
      <c r="E28" s="20"/>
      <c r="F28" s="20"/>
      <c r="G28" s="20"/>
      <c r="H28" s="84">
        <v>0.4</v>
      </c>
      <c r="I28" s="113"/>
      <c r="J28" s="113"/>
      <c r="K28" s="113">
        <f>IF($F$22&gt;$D$7,IF($B$2*(1+$E$2)&lt;$R$2,$B$2*(1-K$25)+$B$2*$E$2*(1-K$25)+$L$2*$W$28*(K$25-$H28),$R$2*(1-K$25)+$L$2*$X$28*(K$25-$H28)),IF($F$22*(1-$O$2)&gt;$P$2,$F$22*(1-$O$2)-$P$2,0))</f>
        <v>63</v>
      </c>
      <c r="L28" s="113">
        <f>IF($F$22&gt;$D$8,IF($B$2*(1+$E$2)&lt;$R$2,$B$2*(1-L$25)+$B$2*$E$2*(1-L$25)+$L$2*$W$29*(L$25-$H28),$R$2*(1-L$25)+$L$2*$X$29*(L$25-$H28)),IF($F$22*(1-$O$2)&gt;$P$2,$F$22*(1-$O$2)-$P$2,0))</f>
        <v>124.93926370129736</v>
      </c>
      <c r="M28" s="113">
        <f>IF($F$22&gt;$D$9,IF($B$2*(1+$E$2)&lt;$R$2,$B$2*(1-M$25)+$B$2*$E$2*(1-M$25)+$L$2*$W$30*(M$25-$H28),$R$2*(1-M$25)+$L$2*$X$30*(M$25-$H28)),IF($F$22*(1-$O$2)&gt;$P$2,$F$22*(1-$O$2)-$P$2,0))</f>
        <v>173.0698021356398</v>
      </c>
      <c r="N28" s="114">
        <f t="shared" si="4"/>
        <v>211.5342328831137</v>
      </c>
      <c r="O28" s="84" t="s">
        <v>35</v>
      </c>
      <c r="P28" s="116">
        <f t="shared" ref="P28:U28" si="8">MAX($F$22-$P$2+$A$2*$D$2*$C$2,0)</f>
        <v>705.11410961037905</v>
      </c>
      <c r="Q28" s="116">
        <f t="shared" si="8"/>
        <v>705.11410961037905</v>
      </c>
      <c r="R28" s="116">
        <f t="shared" si="8"/>
        <v>705.11410961037905</v>
      </c>
      <c r="S28" s="116">
        <f t="shared" si="8"/>
        <v>705.11410961037905</v>
      </c>
      <c r="T28" s="116">
        <f t="shared" si="8"/>
        <v>705.11410961037905</v>
      </c>
      <c r="U28" s="116">
        <f t="shared" si="8"/>
        <v>705.11410961037905</v>
      </c>
      <c r="V28" s="84">
        <v>0.4</v>
      </c>
      <c r="W28" s="91">
        <f>R26/(1+$L$2*V28)</f>
        <v>459.0815068645565</v>
      </c>
      <c r="X28" s="115">
        <f>R27/(1+$L$2*V28)</f>
        <v>458.22436400741361</v>
      </c>
      <c r="Y28" s="91">
        <f>R$28/(1+$L$2*V28)</f>
        <v>503.65293543598506</v>
      </c>
      <c r="Z28" s="59" t="s">
        <v>46</v>
      </c>
      <c r="AA28" s="59">
        <f t="shared" si="6"/>
        <v>108</v>
      </c>
      <c r="AB28" s="59">
        <f t="shared" si="6"/>
        <v>108</v>
      </c>
      <c r="AC28" s="59">
        <f t="shared" si="6"/>
        <v>108</v>
      </c>
      <c r="AD28" s="59">
        <f t="shared" si="6"/>
        <v>108</v>
      </c>
      <c r="AE28" s="59">
        <f t="shared" si="6"/>
        <v>108</v>
      </c>
      <c r="AF28" s="59">
        <f t="shared" si="6"/>
        <v>108</v>
      </c>
      <c r="AG28" s="20"/>
      <c r="AH28" s="111"/>
      <c r="AI28" s="111"/>
      <c r="AJ28" s="111"/>
      <c r="AK28" s="111"/>
      <c r="AL28" s="111"/>
      <c r="AM28" s="111"/>
      <c r="AN28" s="46"/>
      <c r="AO28" s="46"/>
    </row>
    <row r="29" spans="1:54" x14ac:dyDescent="0.25">
      <c r="A29" s="20"/>
      <c r="B29" s="20"/>
      <c r="C29" s="20"/>
      <c r="D29" s="20"/>
      <c r="E29" s="20"/>
      <c r="F29" s="20"/>
      <c r="G29" s="20"/>
      <c r="H29" s="84">
        <v>0.6</v>
      </c>
      <c r="I29" s="113"/>
      <c r="J29" s="113"/>
      <c r="K29" s="113"/>
      <c r="L29" s="113">
        <f>IF($F$22&gt;$D$8,IF($B$2*(1+$E$2)&lt;$R$2,$B$2*(1-L$25)+$B$2*$E$2*(1-L$25)+$L$2*$W$29*(L$25-$H29),$R$2*(1-L$25)+$L$2*$X$29*(L$25-$H29)),IF($F$22*(1-$O$2)&gt;$P$2,$F$22*(1-$O$2)-$P$2,0))</f>
        <v>42</v>
      </c>
      <c r="M29" s="113">
        <f>IF($F$22&gt;$D$9,IF($B$2*(1+$E$2)&lt;$R$2,$B$2*(1-M$25)+$B$2*$E$2*(1-M$25)+$L$2*$W$30*(M$25-$H29),$R$2*(1-M$25)+$L$2*$X$30*(M$25-$H29)),IF($F$22*(1-$O$2)&gt;$P$2,$F$22*(1-$O$2)-$P$2,0))</f>
        <v>97.034901067819916</v>
      </c>
      <c r="N29" s="114">
        <f t="shared" si="4"/>
        <v>141.02282192207582</v>
      </c>
      <c r="O29" s="84"/>
      <c r="P29" s="117"/>
      <c r="Q29" s="117"/>
      <c r="R29" s="117"/>
      <c r="S29" s="117"/>
      <c r="T29" s="117"/>
      <c r="U29" s="117"/>
      <c r="V29" s="84">
        <v>0.6</v>
      </c>
      <c r="W29" s="91">
        <f>S26/(1+$L$2*V29)</f>
        <v>414.69631850648688</v>
      </c>
      <c r="X29" s="115">
        <f>S27/(1+$L$2*V29)</f>
        <v>414.19631850648688</v>
      </c>
      <c r="Y29" s="91">
        <f>S$28/(1+$L$2*V29)</f>
        <v>440.69631850648688</v>
      </c>
      <c r="Z29" s="20"/>
      <c r="AA29" s="20"/>
      <c r="AB29" s="20"/>
      <c r="AC29" s="20"/>
      <c r="AD29" s="20"/>
      <c r="AE29" s="20"/>
      <c r="AF29" s="20"/>
      <c r="AG29" s="20"/>
      <c r="AH29" s="59"/>
      <c r="AI29" s="59"/>
      <c r="AJ29" s="59"/>
      <c r="AK29" s="59"/>
      <c r="AL29" s="59"/>
      <c r="AM29" s="59"/>
      <c r="AN29" s="43"/>
      <c r="AO29" s="43"/>
    </row>
    <row r="30" spans="1:54" x14ac:dyDescent="0.25">
      <c r="A30" s="20"/>
      <c r="B30" s="20"/>
      <c r="C30" s="20"/>
      <c r="D30" s="20"/>
      <c r="E30" s="20">
        <f>E20*(EXP(S2*N2)-1)</f>
        <v>2.5520461139789212</v>
      </c>
      <c r="F30" s="20">
        <f>E20+E30</f>
        <v>128.8825821377699</v>
      </c>
      <c r="G30" s="20"/>
      <c r="H30" s="84">
        <v>0.8</v>
      </c>
      <c r="I30" s="113"/>
      <c r="J30" s="113"/>
      <c r="K30" s="113"/>
      <c r="L30" s="113"/>
      <c r="M30" s="113">
        <f>IF($F$22&gt;$D$9,IF($B$2*(1+$E$2)&lt;$R$2,$B$2*(1-M$25)+$B$2*$E$2*(1-M$25)+$L$2*$W$30*(M$25-$H30),$R$2*(1-M$25)+$L$2*$X$30*(M$25-$H30)),IF($F$22*(1-$O$2)&gt;$P$2,$F$22*(1-$O$2)-$P$2,0))</f>
        <v>20.999999999999996</v>
      </c>
      <c r="N30" s="114">
        <f t="shared" si="4"/>
        <v>70.511410961037882</v>
      </c>
      <c r="O30" s="84"/>
      <c r="P30" s="117"/>
      <c r="Q30" s="117"/>
      <c r="R30" s="117"/>
      <c r="S30" s="117"/>
      <c r="T30" s="117"/>
      <c r="U30" s="117"/>
      <c r="V30" s="84">
        <v>0.8</v>
      </c>
      <c r="W30" s="91">
        <f>T26/(1+$L$2*V30)</f>
        <v>380.17450533909948</v>
      </c>
      <c r="X30" s="115">
        <f>T27/(1+$L$2*V30)</f>
        <v>379.9522831168772</v>
      </c>
      <c r="Y30" s="91">
        <f>T$28/(1+$L$2*V30)</f>
        <v>391.73006089465503</v>
      </c>
      <c r="Z30" s="20"/>
      <c r="AA30" s="20"/>
      <c r="AB30" s="20"/>
      <c r="AC30" s="20"/>
      <c r="AD30" s="20"/>
      <c r="AE30" s="20"/>
      <c r="AF30" s="20"/>
      <c r="AG30" s="20"/>
      <c r="AH30" s="59"/>
      <c r="AI30" s="58"/>
      <c r="AJ30" s="58"/>
      <c r="AK30" s="58"/>
      <c r="AL30" s="58"/>
      <c r="AM30" s="58"/>
      <c r="AN30" s="58"/>
      <c r="AO30" s="58"/>
    </row>
    <row r="31" spans="1:54" x14ac:dyDescent="0.25">
      <c r="A31" s="20"/>
      <c r="B31" s="20"/>
      <c r="C31" s="20"/>
      <c r="D31" s="20"/>
      <c r="E31" s="20"/>
      <c r="F31" s="20"/>
      <c r="G31" s="20"/>
      <c r="H31" s="84">
        <v>1</v>
      </c>
      <c r="I31" s="113"/>
      <c r="J31" s="113"/>
      <c r="K31" s="113"/>
      <c r="L31" s="113"/>
      <c r="M31" s="113"/>
      <c r="N31" s="114">
        <f t="shared" si="4"/>
        <v>0</v>
      </c>
      <c r="O31" s="84"/>
      <c r="P31" s="117"/>
      <c r="Q31" s="117"/>
      <c r="R31" s="117"/>
      <c r="S31" s="117"/>
      <c r="T31" s="117"/>
      <c r="U31" s="117"/>
      <c r="V31" s="84">
        <v>1</v>
      </c>
      <c r="W31" s="91">
        <f>U26/(1+$L$2*V31)</f>
        <v>352.55705480518952</v>
      </c>
      <c r="X31" s="115">
        <f>U27/(1+$L$2*V31)</f>
        <v>352.55705480518952</v>
      </c>
      <c r="Y31" s="91">
        <f>U$28/(1+$L$2*V31)</f>
        <v>352.55705480518952</v>
      </c>
      <c r="Z31" s="20"/>
      <c r="AA31" s="20"/>
      <c r="AB31" s="20"/>
      <c r="AC31" s="20"/>
      <c r="AD31" s="20"/>
      <c r="AE31" s="20"/>
      <c r="AF31" s="20"/>
      <c r="AG31" s="20"/>
      <c r="AH31" s="58"/>
      <c r="AI31" s="59"/>
      <c r="AJ31" s="59"/>
      <c r="AK31" s="59"/>
      <c r="AL31" s="59"/>
      <c r="AM31" s="59"/>
      <c r="AN31" s="59"/>
      <c r="AO31" s="59"/>
    </row>
    <row r="32" spans="1:54" x14ac:dyDescent="0.25">
      <c r="A32" s="20"/>
      <c r="B32" s="20"/>
      <c r="C32" s="20"/>
      <c r="D32" s="20"/>
      <c r="E32" s="20"/>
      <c r="F32" s="20"/>
      <c r="G32" s="20"/>
      <c r="H32" s="84"/>
      <c r="I32" s="113" t="s">
        <v>36</v>
      </c>
      <c r="J32" s="113"/>
      <c r="K32" s="113"/>
      <c r="L32" s="113"/>
      <c r="M32" s="113"/>
      <c r="N32" s="114"/>
      <c r="O32" s="84"/>
      <c r="P32" s="117"/>
      <c r="Q32" s="117"/>
      <c r="R32" s="117"/>
      <c r="S32" s="117"/>
      <c r="T32" s="117"/>
      <c r="U32" s="117"/>
      <c r="V32" s="84"/>
      <c r="W32" s="91"/>
      <c r="X32" s="115"/>
      <c r="Y32" s="91"/>
      <c r="Z32" s="20"/>
      <c r="AA32" s="20"/>
      <c r="AB32" s="20"/>
      <c r="AC32" s="20"/>
      <c r="AD32" s="20"/>
      <c r="AE32" s="20"/>
      <c r="AF32" s="20"/>
      <c r="AG32" s="20"/>
      <c r="AH32" s="58"/>
      <c r="AI32" s="59"/>
      <c r="AJ32" s="59"/>
      <c r="AK32" s="59"/>
      <c r="AL32" s="59"/>
      <c r="AM32" s="59"/>
      <c r="AN32" s="59"/>
      <c r="AO32" s="59"/>
    </row>
    <row r="33" spans="1:41" x14ac:dyDescent="0.25">
      <c r="A33" s="20"/>
      <c r="B33" s="20"/>
      <c r="C33" s="20"/>
      <c r="D33" s="20"/>
      <c r="E33" s="20"/>
      <c r="F33" s="20"/>
      <c r="G33" s="60"/>
      <c r="H33" s="60"/>
      <c r="I33" s="118"/>
      <c r="J33" s="118"/>
      <c r="K33" s="118"/>
      <c r="L33" s="118"/>
      <c r="M33" s="118"/>
      <c r="N33" s="118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9" t="s">
        <v>43</v>
      </c>
      <c r="AA33" s="58">
        <v>0</v>
      </c>
      <c r="AB33" s="58">
        <v>0.2</v>
      </c>
      <c r="AC33" s="58">
        <v>0.4</v>
      </c>
      <c r="AD33" s="58">
        <v>0.6</v>
      </c>
      <c r="AE33" s="58">
        <v>0.8</v>
      </c>
      <c r="AF33" s="58">
        <v>1</v>
      </c>
      <c r="AG33" s="20"/>
      <c r="AH33" s="58"/>
      <c r="AI33" s="59"/>
      <c r="AJ33" s="59"/>
      <c r="AK33" s="59"/>
      <c r="AL33" s="59"/>
      <c r="AM33" s="59"/>
      <c r="AN33" s="59"/>
      <c r="AO33" s="59"/>
    </row>
    <row r="34" spans="1:41" x14ac:dyDescent="0.25">
      <c r="A34" s="20"/>
      <c r="B34" s="20"/>
      <c r="C34" s="20"/>
      <c r="D34" s="20"/>
      <c r="E34" s="20"/>
      <c r="F34" s="20"/>
      <c r="G34" s="60"/>
      <c r="H34" s="60" t="s">
        <v>28</v>
      </c>
      <c r="I34" s="79">
        <v>0</v>
      </c>
      <c r="J34" s="79">
        <v>0.2</v>
      </c>
      <c r="K34" s="79">
        <v>0.4</v>
      </c>
      <c r="L34" s="79">
        <v>0.6</v>
      </c>
      <c r="M34" s="79">
        <v>0.8</v>
      </c>
      <c r="N34" s="79">
        <v>1</v>
      </c>
      <c r="O34" s="79" t="s">
        <v>14</v>
      </c>
      <c r="P34" s="79">
        <v>0</v>
      </c>
      <c r="Q34" s="79">
        <v>0.2</v>
      </c>
      <c r="R34" s="79">
        <v>0.4</v>
      </c>
      <c r="S34" s="79">
        <v>0.6</v>
      </c>
      <c r="T34" s="79">
        <v>0.8</v>
      </c>
      <c r="U34" s="79">
        <v>1</v>
      </c>
      <c r="V34" s="60" t="s">
        <v>15</v>
      </c>
      <c r="W34" s="79" t="s">
        <v>33</v>
      </c>
      <c r="X34" s="60" t="s">
        <v>34</v>
      </c>
      <c r="Y34" s="60" t="s">
        <v>35</v>
      </c>
      <c r="Z34" s="59" t="s">
        <v>44</v>
      </c>
      <c r="AA34" s="59">
        <f t="shared" ref="AA34:AF36" si="9">IF(P35&gt;0,$P$2,MIN((1-$O$2)*$F$26,$P$2))</f>
        <v>108</v>
      </c>
      <c r="AB34" s="59">
        <f t="shared" si="9"/>
        <v>108</v>
      </c>
      <c r="AC34" s="59">
        <f t="shared" si="9"/>
        <v>108</v>
      </c>
      <c r="AD34" s="59">
        <f t="shared" si="9"/>
        <v>108</v>
      </c>
      <c r="AE34" s="59">
        <f t="shared" si="9"/>
        <v>108</v>
      </c>
      <c r="AF34" s="59">
        <f t="shared" si="9"/>
        <v>108</v>
      </c>
      <c r="AG34" s="20"/>
      <c r="AH34" s="58"/>
      <c r="AI34" s="59"/>
      <c r="AJ34" s="59"/>
      <c r="AK34" s="59"/>
      <c r="AL34" s="59"/>
      <c r="AM34" s="59"/>
      <c r="AN34" s="59"/>
      <c r="AO34" s="59"/>
    </row>
    <row r="35" spans="1:41" x14ac:dyDescent="0.25">
      <c r="A35" s="20"/>
      <c r="B35" s="20"/>
      <c r="C35" s="20"/>
      <c r="D35" s="20"/>
      <c r="E35" s="20"/>
      <c r="F35" s="20"/>
      <c r="G35" s="20"/>
      <c r="H35" s="79">
        <v>0</v>
      </c>
      <c r="I35" s="113">
        <f>IF($F$26&gt;$D$5,IF($B$2*(1+$E$2)&lt;$R$2,$B$2*(1-I$34)+$B$2*$E$2*(1-I$34)+$L$2*$W35*(I$34-$H35),$R$2*(1-I$34)+$L$2*$X35*(I$34-$H35)),IF($F$26*(1-$O$2)&gt;$P$2,$F$26*(1-$O$2)-$P$2,0))</f>
        <v>105</v>
      </c>
      <c r="J35" s="113">
        <f>IF($F$26&gt;$D$6,IF($B$2*(1+$E$2)&lt;$R$2,$B$2*(1-J$34)+$B$2*$E$2*(1-J$34)+$L$2*$W$36*(J$34-$H35),$R$2*(1-J$34)+$L$2*$X$36*(J$34-$H35)),IF($F$26*(1-$O$2)&gt;$P$2,$F$26*(1-$O$2)-$P$2,0))</f>
        <v>106.30063746474693</v>
      </c>
      <c r="K35" s="113">
        <f>IF($F$26&gt;$D$7,IF($B$2*(1+$E$2)&lt;$R$2,$B$2*(1-K$25)+$B$2*$E$2*(1-K$25)+$L$2*$W$37*(K$25-$H35),$R$2*(1-K$25)+$L$2*$X$37*(K$25-$H35)),IF($F$26*(1-$O$2)&gt;$P$2,$F$26*(1-$O$2)-$P$2,0))</f>
        <v>107.17252136813761</v>
      </c>
      <c r="L35" s="113">
        <f>IF($F$26&gt;$D$8,IF($B$2*(1+$E$2)&lt;$R$2,$B$2*(1-L$25)+$B$2*$E$2*(1-L$25)+$L$2*$W$38*(L$25-$H35),$R$2*(1-L$25)+$L$2*$X$38*(L$25-$H35)),IF($F$26*(1-$O$2)&gt;$P$2,$F$26*(1-$O$2)-$P$2,0))</f>
        <v>107.77643429568059</v>
      </c>
      <c r="M35" s="113">
        <f>IF($F$26&gt;$D$9,IF($B$2*(1+$E$2)&lt;$R$2,$B$2*(1-M$25)+$B$2*$E$2*(1-M$25)+$L$2*$W$39*(M$25-$H35),$R$2*(1-M$25)+$L$2*$X$39*(M$25-$H35)),IF($F$26*(1-$O$2)&gt;$P$2,$F$26*(1-$O$2)-$P$2,0))</f>
        <v>108.2016999059918</v>
      </c>
      <c r="N35" s="114">
        <f t="shared" ref="N35:N40" si="10">IF($F$26&gt;$D$10,IF($B$2*(1+$E$2)&lt;$R$2,$B$2*(1-N$25)+$B$2*$E$2*(1-N$25)+$L$2*$W$40*(N$25-$H35),$R$2*(1-N$25)+$L$2*$X$40*(N$25-$H35)),IF($F$26*(1-$O$2)&gt;$P$2,$F$26*(1-$O$2)-$P$2,0))</f>
        <v>108.50191239424079</v>
      </c>
      <c r="O35" s="119" t="s">
        <v>33</v>
      </c>
      <c r="P35" s="120">
        <f t="shared" ref="P35:U35" si="11">MAX($F$26-$P$2+$A$2*$D$2*$C$2-$B$2*(1-P34)-$B$2*(1-P34)*(1-$C$2)*$E$2,0)</f>
        <v>113.00382478848158</v>
      </c>
      <c r="Q35" s="120">
        <f t="shared" si="11"/>
        <v>133.80382478848159</v>
      </c>
      <c r="R35" s="120">
        <f t="shared" si="11"/>
        <v>154.60382478848157</v>
      </c>
      <c r="S35" s="120">
        <f t="shared" si="11"/>
        <v>175.40382478848159</v>
      </c>
      <c r="T35" s="120">
        <f t="shared" si="11"/>
        <v>196.20382478848157</v>
      </c>
      <c r="U35" s="120">
        <f t="shared" si="11"/>
        <v>217.00382478848158</v>
      </c>
      <c r="V35" s="79">
        <v>0</v>
      </c>
      <c r="W35" s="60">
        <f>P35/(1+$L$2*V35)</f>
        <v>113.00382478848158</v>
      </c>
      <c r="X35" s="60">
        <f>P$36/(1+$L$2*V35)</f>
        <v>111.00382478848158</v>
      </c>
      <c r="Y35" s="60">
        <f>P$37/(1+$L$2*V35)</f>
        <v>217.00382478848158</v>
      </c>
      <c r="Z35" s="59" t="s">
        <v>45</v>
      </c>
      <c r="AA35" s="59">
        <f t="shared" si="9"/>
        <v>108</v>
      </c>
      <c r="AB35" s="59">
        <f t="shared" si="9"/>
        <v>108</v>
      </c>
      <c r="AC35" s="59">
        <f t="shared" si="9"/>
        <v>108</v>
      </c>
      <c r="AD35" s="59">
        <f t="shared" si="9"/>
        <v>108</v>
      </c>
      <c r="AE35" s="59">
        <f t="shared" si="9"/>
        <v>108</v>
      </c>
      <c r="AF35" s="59">
        <f t="shared" si="9"/>
        <v>108</v>
      </c>
      <c r="AG35" s="20"/>
      <c r="AH35" s="58"/>
      <c r="AI35" s="59"/>
      <c r="AJ35" s="59"/>
      <c r="AK35" s="59"/>
      <c r="AL35" s="59"/>
      <c r="AM35" s="59"/>
      <c r="AN35" s="59"/>
      <c r="AO35" s="59"/>
    </row>
    <row r="36" spans="1:41" x14ac:dyDescent="0.25">
      <c r="A36" s="20"/>
      <c r="B36" s="20"/>
      <c r="C36" s="20"/>
      <c r="D36" s="20"/>
      <c r="E36" s="20"/>
      <c r="F36" s="20"/>
      <c r="G36" s="20"/>
      <c r="H36" s="79">
        <v>0.2</v>
      </c>
      <c r="I36" s="60"/>
      <c r="J36" s="113">
        <f>IF($F$26&gt;$D$6,IF($B$2*(1+$E$2)&lt;$R$2,$B$2*(1-J$34)+$B$2*$E$2*(1-J$34)+$L$2*$W$36*(J$34-$H36),$R$2*(1-J$34)+$L$2*$X$36*(J$34-$H36)),IF($F$26*(1-$O$2)&gt;$P$2,$F$26*(1-$O$2)-$P$2,0))</f>
        <v>84</v>
      </c>
      <c r="K36" s="113">
        <f>IF($F$26&gt;$D$7,IF($B$2*(1+$E$2)&lt;$R$2,$B$2*(1-K$25)+$B$2*$E$2*(1-K$25)+$L$2*$W$37*(K$25-$H36),$R$2*(1-K$25)+$L$2*$X$37*(K$25-$H36)),IF($F$26*(1-$O$2)&gt;$P$2,$F$26*(1-$O$2)-$P$2,0))</f>
        <v>85.086260684068804</v>
      </c>
      <c r="L36" s="113">
        <f>IF($F$26&gt;$D$8,IF($B$2*(1+$E$2)&lt;$R$2,$B$2*(1-L$25)+$B$2*$E$2*(1-L$25)+$L$2*$W$38*(L$25-$H36),$R$2*(1-L$25)+$L$2*$X$38*(L$25-$H36)),IF($F$26*(1-$O$2)&gt;$P$2,$F$26*(1-$O$2)-$P$2,0))</f>
        <v>85.850956197120382</v>
      </c>
      <c r="M36" s="113">
        <f>IF($F$26&gt;$D$9,IF($B$2*(1+$E$2)&lt;$R$2,$B$2*(1-M$25)+$B$2*$E$2*(1-M$25)+$L$2*$W$39*(M$25-$H36),$R$2*(1-M$25)+$L$2*$X$39*(M$25-$H36)),IF($F$26*(1-$O$2)&gt;$P$2,$F$26*(1-$O$2)-$P$2,0))</f>
        <v>86.401274929493866</v>
      </c>
      <c r="N36" s="114">
        <f t="shared" si="10"/>
        <v>86.801529915392635</v>
      </c>
      <c r="O36" s="119" t="s">
        <v>34</v>
      </c>
      <c r="P36" s="121">
        <f t="shared" ref="P36:U36" si="12">MAX($F$26-$P$2+$A$2*$D$2*$C$2-(1-P$34)*$R$2,0)</f>
        <v>111.00382478848158</v>
      </c>
      <c r="Q36" s="121">
        <f t="shared" si="12"/>
        <v>132.20382478848157</v>
      </c>
      <c r="R36" s="121">
        <f t="shared" si="12"/>
        <v>153.40382478848159</v>
      </c>
      <c r="S36" s="121">
        <f t="shared" si="12"/>
        <v>174.60382478848157</v>
      </c>
      <c r="T36" s="121">
        <f t="shared" si="12"/>
        <v>195.80382478848159</v>
      </c>
      <c r="U36" s="121">
        <f t="shared" si="12"/>
        <v>217.00382478848158</v>
      </c>
      <c r="V36" s="79">
        <v>0.2</v>
      </c>
      <c r="W36" s="60">
        <f>Q35/(1+$L$2*V36)</f>
        <v>111.50318732373466</v>
      </c>
      <c r="X36" s="60">
        <f>Q$36/(1+$L$2*V36)</f>
        <v>110.16985399040131</v>
      </c>
      <c r="Y36" s="60">
        <f>Q$37/(1+$L$2*V36)</f>
        <v>180.83652065706798</v>
      </c>
      <c r="Z36" s="59" t="s">
        <v>42</v>
      </c>
      <c r="AA36" s="59">
        <f t="shared" si="9"/>
        <v>108</v>
      </c>
      <c r="AB36" s="59">
        <f t="shared" si="9"/>
        <v>108</v>
      </c>
      <c r="AC36" s="59">
        <f t="shared" si="9"/>
        <v>108</v>
      </c>
      <c r="AD36" s="59">
        <f t="shared" si="9"/>
        <v>108</v>
      </c>
      <c r="AE36" s="59">
        <f t="shared" si="9"/>
        <v>108</v>
      </c>
      <c r="AF36" s="59">
        <f t="shared" si="9"/>
        <v>108</v>
      </c>
      <c r="AG36" s="20"/>
      <c r="AH36" s="58"/>
      <c r="AI36" s="59"/>
      <c r="AJ36" s="59"/>
      <c r="AK36" s="59"/>
      <c r="AL36" s="59"/>
      <c r="AM36" s="59"/>
      <c r="AN36" s="59"/>
      <c r="AO36" s="59"/>
    </row>
    <row r="37" spans="1:41" x14ac:dyDescent="0.25">
      <c r="A37" s="20"/>
      <c r="B37" s="20"/>
      <c r="C37" s="20"/>
      <c r="D37" s="20"/>
      <c r="E37" s="20"/>
      <c r="F37" s="20"/>
      <c r="G37" s="20"/>
      <c r="H37" s="79">
        <v>0.4</v>
      </c>
      <c r="I37" s="60"/>
      <c r="J37" s="60"/>
      <c r="K37" s="113">
        <f>IF($F$26&gt;$D$7,IF($B$2*(1+$E$2)&lt;$R$2,$B$2*(1-K$25)+$B$2*$E$2*(1-K$25)+$L$2*$W$37*(K$25-$H37),$R$2*(1-K$25)+$L$2*$X$37*(K$25-$H37)),IF($F$26*(1-$O$2)&gt;$P$2,$F$26*(1-$O$2)-$P$2,0))</f>
        <v>63</v>
      </c>
      <c r="L37" s="113">
        <f>IF($F$26&gt;$D$8,IF($B$2*(1+$E$2)&lt;$R$2,$B$2*(1-L$25)+$B$2*$E$2*(1-L$25)+$L$2*$W$38*(L$25-$H37),$R$2*(1-L$25)+$L$2*$X$38*(L$25-$H37)),IF($F$26*(1-$O$2)&gt;$P$2,$F$26*(1-$O$2)-$P$2,0))</f>
        <v>63.925478098560191</v>
      </c>
      <c r="M37" s="113">
        <f>IF($F$26&gt;$D$9,IF($B$2*(1+$E$2)&lt;$R$2,$B$2*(1-M$25)+$B$2*$E$2*(1-M$25)+$L$2*$W$39*(M$25-$H37),$R$2*(1-M$25)+$L$2*$X$39*(M$25-$H37)),IF($F$26*(1-$O$2)&gt;$P$2,$F$26*(1-$O$2)-$P$2,0))</f>
        <v>64.600849952995901</v>
      </c>
      <c r="N37" s="114">
        <f t="shared" si="10"/>
        <v>65.101147436544466</v>
      </c>
      <c r="O37" s="119" t="s">
        <v>35</v>
      </c>
      <c r="P37" s="121">
        <f t="shared" ref="P37:U37" si="13">MAX($F$26-$P$2+$A$2*$D$2*$C$2,0)</f>
        <v>217.00382478848158</v>
      </c>
      <c r="Q37" s="121">
        <f t="shared" si="13"/>
        <v>217.00382478848158</v>
      </c>
      <c r="R37" s="121">
        <f t="shared" si="13"/>
        <v>217.00382478848158</v>
      </c>
      <c r="S37" s="121">
        <f t="shared" si="13"/>
        <v>217.00382478848158</v>
      </c>
      <c r="T37" s="121">
        <f t="shared" si="13"/>
        <v>217.00382478848158</v>
      </c>
      <c r="U37" s="121">
        <f t="shared" si="13"/>
        <v>217.00382478848158</v>
      </c>
      <c r="V37" s="79">
        <v>0.4</v>
      </c>
      <c r="W37" s="60">
        <f>R35/(1+$L$2*V37)</f>
        <v>110.43130342034399</v>
      </c>
      <c r="X37" s="60">
        <f>R$36/(1+$L$2*V37)</f>
        <v>109.57416056320113</v>
      </c>
      <c r="Y37" s="60">
        <f>R$37/(1+$L$2*V37)</f>
        <v>155.00273199177258</v>
      </c>
      <c r="Z37" s="20"/>
      <c r="AA37" s="20"/>
      <c r="AB37" s="20"/>
      <c r="AC37" s="20"/>
      <c r="AD37" s="20"/>
      <c r="AE37" s="20"/>
      <c r="AF37" s="20"/>
      <c r="AG37" s="20"/>
      <c r="AH37" s="58"/>
      <c r="AI37" s="59"/>
      <c r="AJ37" s="59"/>
      <c r="AK37" s="59"/>
      <c r="AL37" s="59"/>
      <c r="AM37" s="59"/>
      <c r="AN37" s="59"/>
      <c r="AO37" s="59"/>
    </row>
    <row r="38" spans="1:41" x14ac:dyDescent="0.25">
      <c r="A38" s="20"/>
      <c r="B38" s="20"/>
      <c r="C38" s="20"/>
      <c r="D38" s="20"/>
      <c r="E38" s="20"/>
      <c r="F38" s="20"/>
      <c r="G38" s="20"/>
      <c r="H38" s="79">
        <v>0.6</v>
      </c>
      <c r="I38" s="60"/>
      <c r="J38" s="60"/>
      <c r="K38" s="60"/>
      <c r="L38" s="113">
        <f>IF($F$26&gt;$D$8,IF($B$2*(1+$E$2)&lt;$R$2,$B$2*(1-L$25)+$B$2*$E$2*(1-L$25)+$L$2*$W$38*(L$25-$H38),$R$2*(1-L$25)+$L$2*$X$38*(L$25-$H38)),IF($F$26*(1-$O$2)&gt;$P$2,$F$26*(1-$O$2)-$P$2,0))</f>
        <v>42</v>
      </c>
      <c r="M38" s="113">
        <f>IF($F$26&gt;$D$9,IF($B$2*(1+$E$2)&lt;$R$2,$B$2*(1-M$25)+$B$2*$E$2*(1-M$25)+$L$2*$W$39*(M$25-$H38),$R$2*(1-M$25)+$L$2*$X$39*(M$25-$H38)),IF($F$26*(1-$O$2)&gt;$P$2,$F$26*(1-$O$2)-$P$2,0))</f>
        <v>42.800424976497951</v>
      </c>
      <c r="N38" s="114">
        <f t="shared" si="10"/>
        <v>43.400764957696317</v>
      </c>
      <c r="O38" s="119"/>
      <c r="P38" s="121"/>
      <c r="Q38" s="121"/>
      <c r="R38" s="121"/>
      <c r="S38" s="121"/>
      <c r="T38" s="121"/>
      <c r="U38" s="121"/>
      <c r="V38" s="79">
        <v>0.6</v>
      </c>
      <c r="W38" s="60">
        <f>S35/(1+$L$2*V38)</f>
        <v>109.62739049280098</v>
      </c>
      <c r="X38" s="60">
        <f>S$36/(1+$L$2*V38)</f>
        <v>109.12739049280098</v>
      </c>
      <c r="Y38" s="60">
        <f>S$37/(1+$L$2*V38)</f>
        <v>135.62739049280097</v>
      </c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1:41" x14ac:dyDescent="0.25">
      <c r="A39" s="20"/>
      <c r="B39" s="20"/>
      <c r="C39" s="20"/>
      <c r="D39" s="20"/>
      <c r="E39" s="20"/>
      <c r="F39" s="20"/>
      <c r="G39" s="20"/>
      <c r="H39" s="79">
        <v>0.8</v>
      </c>
      <c r="I39" s="60"/>
      <c r="J39" s="60"/>
      <c r="K39" s="60"/>
      <c r="L39" s="60"/>
      <c r="M39" s="113">
        <f>IF($F$26&gt;$D$9,IF($B$2*(1+$E$2)&lt;$R$2,$B$2*(1-M$25)+$B$2*$E$2*(1-M$25)+$L$2*$W$39*(M$25-$H39),$R$2*(1-M$25)+$L$2*$X$39*(M$25-$H39)),IF($F$26*(1-$O$2)&gt;$P$2,$F$26*(1-$O$2)-$P$2,0))</f>
        <v>20.999999999999996</v>
      </c>
      <c r="N39" s="114">
        <f t="shared" si="10"/>
        <v>21.700382478848152</v>
      </c>
      <c r="O39" s="119"/>
      <c r="P39" s="121"/>
      <c r="Q39" s="121"/>
      <c r="R39" s="121"/>
      <c r="S39" s="121"/>
      <c r="T39" s="121"/>
      <c r="U39" s="121"/>
      <c r="V39" s="79">
        <v>0.8</v>
      </c>
      <c r="W39" s="60">
        <f>T35/(1+$L$2*V39)</f>
        <v>109.00212488248975</v>
      </c>
      <c r="X39" s="60">
        <f>T$36/(1+$L$2*V39)</f>
        <v>108.77990266026755</v>
      </c>
      <c r="Y39" s="60">
        <f>T$37/(1+$L$2*V39)</f>
        <v>120.55768043804532</v>
      </c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1:41" x14ac:dyDescent="0.25">
      <c r="A40" s="20"/>
      <c r="B40" s="20"/>
      <c r="C40" s="20"/>
      <c r="D40" s="20"/>
      <c r="E40" s="20"/>
      <c r="F40" s="20"/>
      <c r="G40" s="20"/>
      <c r="H40" s="79">
        <v>1</v>
      </c>
      <c r="I40" s="60"/>
      <c r="J40" s="60"/>
      <c r="K40" s="60"/>
      <c r="L40" s="60"/>
      <c r="M40" s="60"/>
      <c r="N40" s="114">
        <f t="shared" si="10"/>
        <v>0</v>
      </c>
      <c r="O40" s="119"/>
      <c r="P40" s="121"/>
      <c r="Q40" s="121"/>
      <c r="R40" s="121"/>
      <c r="S40" s="121"/>
      <c r="T40" s="121"/>
      <c r="U40" s="121"/>
      <c r="V40" s="79">
        <v>1</v>
      </c>
      <c r="W40" s="60">
        <f>U35/(1+$L$2*V40)</f>
        <v>108.50191239424079</v>
      </c>
      <c r="X40" s="60">
        <f>U$36/(1+$L$2*V40)</f>
        <v>108.50191239424079</v>
      </c>
      <c r="Y40" s="60">
        <f>U$37/(1+$L$2*V40)</f>
        <v>108.50191239424079</v>
      </c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</row>
    <row r="41" spans="1:41" x14ac:dyDescent="0.25">
      <c r="A41" s="20"/>
      <c r="B41" s="20"/>
      <c r="C41" s="20"/>
      <c r="D41" s="20"/>
      <c r="E41" s="20"/>
      <c r="F41" s="20"/>
      <c r="G41" s="107"/>
      <c r="H41" s="107"/>
      <c r="I41" s="122"/>
      <c r="J41" s="122"/>
      <c r="K41" s="122"/>
      <c r="L41" s="122"/>
      <c r="M41" s="122"/>
      <c r="N41" s="122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59" t="s">
        <v>43</v>
      </c>
      <c r="AC41" s="58">
        <v>0</v>
      </c>
      <c r="AD41" s="58">
        <v>0.2</v>
      </c>
      <c r="AE41" s="58">
        <v>0.4</v>
      </c>
      <c r="AF41" s="58">
        <v>0.6</v>
      </c>
      <c r="AG41" s="58">
        <v>0.8</v>
      </c>
      <c r="AH41" s="58">
        <v>0.81399999999999995</v>
      </c>
      <c r="AI41" s="58">
        <v>1</v>
      </c>
      <c r="AJ41" s="20"/>
      <c r="AK41" s="20"/>
      <c r="AL41" s="20"/>
      <c r="AM41" s="20"/>
    </row>
    <row r="42" spans="1:41" x14ac:dyDescent="0.25">
      <c r="A42" s="20"/>
      <c r="B42" s="20"/>
      <c r="C42" s="20"/>
      <c r="D42" s="20"/>
      <c r="E42" s="20"/>
      <c r="F42" s="20"/>
      <c r="G42" s="107"/>
      <c r="H42" s="107" t="s">
        <v>28</v>
      </c>
      <c r="I42" s="123">
        <v>0</v>
      </c>
      <c r="J42" s="123">
        <v>0.2</v>
      </c>
      <c r="K42" s="123">
        <v>0.4</v>
      </c>
      <c r="L42" s="123">
        <v>0.6</v>
      </c>
      <c r="M42" s="123">
        <v>0.8</v>
      </c>
      <c r="N42" s="123">
        <v>0.81</v>
      </c>
      <c r="O42" s="123">
        <v>1</v>
      </c>
      <c r="P42" s="123" t="s">
        <v>14</v>
      </c>
      <c r="Q42" s="123">
        <v>0</v>
      </c>
      <c r="R42" s="123">
        <v>0.2</v>
      </c>
      <c r="S42" s="123">
        <v>0.4</v>
      </c>
      <c r="T42" s="123">
        <v>0.6</v>
      </c>
      <c r="U42" s="123">
        <v>0.8</v>
      </c>
      <c r="V42" s="123">
        <v>0.81</v>
      </c>
      <c r="W42" s="123">
        <v>1</v>
      </c>
      <c r="X42" s="107" t="s">
        <v>15</v>
      </c>
      <c r="Y42" s="124" t="s">
        <v>33</v>
      </c>
      <c r="Z42" s="125" t="s">
        <v>34</v>
      </c>
      <c r="AA42" s="125" t="s">
        <v>35</v>
      </c>
      <c r="AB42" s="59" t="s">
        <v>44</v>
      </c>
      <c r="AC42" s="59">
        <f t="shared" ref="AC42:AI44" si="14">IF(Q43&gt;0,$P$2,MIN((1-$O$2)*$F$30,$P$2))</f>
        <v>103.10606571021593</v>
      </c>
      <c r="AD42" s="59">
        <f t="shared" si="14"/>
        <v>103.10606571021593</v>
      </c>
      <c r="AE42" s="59">
        <f t="shared" si="14"/>
        <v>103.10606571021593</v>
      </c>
      <c r="AF42" s="59">
        <f t="shared" si="14"/>
        <v>103.10606571021593</v>
      </c>
      <c r="AG42" s="59">
        <f t="shared" si="14"/>
        <v>108</v>
      </c>
      <c r="AH42" s="59">
        <f t="shared" si="14"/>
        <v>108</v>
      </c>
      <c r="AI42" s="59">
        <f t="shared" si="14"/>
        <v>108</v>
      </c>
      <c r="AJ42" s="20"/>
      <c r="AK42" s="20"/>
      <c r="AL42" s="20"/>
      <c r="AM42" s="20"/>
    </row>
    <row r="43" spans="1:41" x14ac:dyDescent="0.25">
      <c r="A43" s="20"/>
      <c r="B43" s="20"/>
      <c r="C43" s="20"/>
      <c r="D43" s="20"/>
      <c r="E43" s="20"/>
      <c r="F43" s="20"/>
      <c r="G43" s="20"/>
      <c r="H43" s="123">
        <v>0</v>
      </c>
      <c r="I43" s="113">
        <f>IF($F$30&gt;$D$5,IF($B$2*(1+$E$2)&lt;$R$2,$B$2*(1-I$34)+$B$2*$E$2*(1-I$34)+$L$2*$Y43*(I$34-$H43),$R$2*(1-I$34)+$L$2*$Z43*(I$34-$H43)),IF($F$30*(1-$O$2)&gt;$P$2,$F$30*(1-$O$2)-$P$2,0))</f>
        <v>0</v>
      </c>
      <c r="J43" s="113">
        <f>IF($F$30&gt;$D$6,IF($B$2*(1+$E$2)&lt;$R$2,$B$2*(1-J$34)+$B$2*$E$2*(1-J$34)+$L$2*$Y$44*(J$34-$H43),$R$2*(1-J$34)+$L$2*$Z$44*(J$34-$H43)),IF($F$30*(1-$O$2)&gt;$P$2,$F$30*(1-$O$2)-$P$2,0))</f>
        <v>0</v>
      </c>
      <c r="K43" s="113">
        <f>IF($F$30&gt;$D$7,IF($B$2*(1+$E$2)&lt;$R$2,$B$2*(1-K$25)+$B$2*$E$2*(1-K$25)+$L$2*$Y$44*(K$25-$H43),$R$2*(1-K$25)+$L$2*$Z$44*(K$25-$H43)),IF($F$30*(1-$O$2)&gt;$P$2,$F$30*(1-$O$2)-$P$2,0))</f>
        <v>0</v>
      </c>
      <c r="L43" s="113">
        <f>IF($F$30&gt;$D$8,IF($B$2*(1+$E$2)&lt;$R$2,$B$2*(1-L$25)+$B$2*$E$2*(1-L$25)+$L$2*$Y$45*(L$25-$H43),$R$2*(1-L$25)+$L$2*$Z$45*(L$25-$H43)),IF($F$30*(1-$O$2)&gt;$P$2,$F$30*(1-$O$2)-$P$2,0))</f>
        <v>0</v>
      </c>
      <c r="M43" s="114">
        <f>IF($F$30&gt;$D$9,IF($B$2*(1+$E$2)&lt;$R$2,$B$2*(1-M$25)+$B$2*$E$2*(1-M$25)+$L$2*$Y$47*(M$25-$H43),$R$2*(1-M$25)+$L$2*$Z$47*(M$25-$H43)),IF($F$30*(1-$O$2)&gt;$P$2,$F$30*(1-$O$2)-$P$2,0))</f>
        <v>21.747814283453287</v>
      </c>
      <c r="N43" s="113">
        <f t="shared" ref="N43:N48" si="15">IF($F$30&gt;$D$11,IF($B$2*(1+$E$2)&lt;$R$2,$B$2*(1-$N$42)+$B$2*$E$2*(1-$N$42)+$L$2*$Y$48*($N$42-$H43),$R$2*(1-$N$42)+$L$2*$Z$48*($N$42-$H43)),IF($F$30*(1-$O$2)&gt;$P$2,$F$30*(1-$O$2)-$P$2,0))</f>
        <v>21.168393111377686</v>
      </c>
      <c r="O43" s="113">
        <f t="shared" ref="O43:O49" si="16">IF($F$30&gt;$D$10,IF($B$2*(1+$E$2)&lt;$R$2,$B$2*(1-N$25)+$B$2*$E$2*(1-N$25)+$L$2*$Y$49*(N$25-$H43),$R$2*(1-N$25)+$L$2*$Z$49*(N$25-$H43)),IF($F$30*(1-$O$2)&gt;$P$2,$F$30*(1-$O$2)-$P$2,0))</f>
        <v>11.241291068884951</v>
      </c>
      <c r="P43" s="124" t="s">
        <v>33</v>
      </c>
      <c r="Q43" s="126">
        <f t="shared" ref="Q43:W43" si="17">MAX($F$30-$P$2+$A$2*$D$2*$C$2-$B$2*(1-Q42)-$B$2*(1-Q42)*(1-$C$2)*$E$2,0)</f>
        <v>0</v>
      </c>
      <c r="R43" s="126">
        <f t="shared" si="17"/>
        <v>0</v>
      </c>
      <c r="S43" s="126">
        <f t="shared" si="17"/>
        <v>0</v>
      </c>
      <c r="T43" s="126">
        <f t="shared" si="17"/>
        <v>0</v>
      </c>
      <c r="U43" s="126">
        <f t="shared" si="17"/>
        <v>1.6825821377699066</v>
      </c>
      <c r="V43" s="126">
        <f t="shared" si="17"/>
        <v>2.7225821377699102</v>
      </c>
      <c r="W43" s="126">
        <f t="shared" si="17"/>
        <v>22.482582137769903</v>
      </c>
      <c r="X43" s="124">
        <v>0</v>
      </c>
      <c r="Y43" s="126">
        <f>Q43/(1+$L$2*X43)</f>
        <v>0</v>
      </c>
      <c r="Z43" s="127">
        <f>Q$44/(1+$L$2*X43)</f>
        <v>0</v>
      </c>
      <c r="AA43" s="125">
        <f>Q$45/(1+$L$2*X43)</f>
        <v>22.482582137769903</v>
      </c>
      <c r="AB43" s="59" t="s">
        <v>45</v>
      </c>
      <c r="AC43" s="59">
        <f t="shared" si="14"/>
        <v>103.10606571021593</v>
      </c>
      <c r="AD43" s="59">
        <f t="shared" si="14"/>
        <v>103.10606571021593</v>
      </c>
      <c r="AE43" s="59">
        <f t="shared" si="14"/>
        <v>103.10606571021593</v>
      </c>
      <c r="AF43" s="59">
        <f t="shared" si="14"/>
        <v>103.10606571021593</v>
      </c>
      <c r="AG43" s="59">
        <f t="shared" si="14"/>
        <v>108</v>
      </c>
      <c r="AH43" s="59">
        <f t="shared" si="14"/>
        <v>108</v>
      </c>
      <c r="AI43" s="59">
        <f t="shared" si="14"/>
        <v>108</v>
      </c>
      <c r="AJ43" s="20"/>
      <c r="AK43" s="20"/>
      <c r="AL43" s="20"/>
      <c r="AM43" s="20"/>
    </row>
    <row r="44" spans="1:41" x14ac:dyDescent="0.25">
      <c r="A44" s="20"/>
      <c r="B44" s="20"/>
      <c r="C44" s="20"/>
      <c r="D44" s="20"/>
      <c r="E44" s="20"/>
      <c r="F44" s="20"/>
      <c r="G44" s="20"/>
      <c r="H44" s="123">
        <v>0.2</v>
      </c>
      <c r="I44" s="128"/>
      <c r="J44" s="113">
        <f>IF($F$30&gt;$D$6,IF($B$2*(1+$E$2)&lt;$R$2,$B$2*(1-J$34)+$B$2*$E$2*(1-J$34)+$L$2*$Y$44*(J$34-$H44),$R$2*(1-J$34)+$L$2*$Z$44*(J$34-$H44)),IF($F$30*(1-$O$2)&gt;$P$2,$F$30*(1-$O$2)-$P$2,0))</f>
        <v>0</v>
      </c>
      <c r="K44" s="113">
        <f>IF($F$30&gt;$D$7,IF($B$2*(1+$E$2)&lt;$R$2,$B$2*(1-K$25)+$B$2*$E$2*(1-K$25)+$L$2*$Y$44*(K$25-$H44),$R$2*(1-K$25)+$L$2*$Z$44*(K$25-$H44)),IF($F$30*(1-$O$2)&gt;$P$2,$F$30*(1-$O$2)-$P$2,0))</f>
        <v>0</v>
      </c>
      <c r="L44" s="113">
        <f>IF($F$30&gt;$D$8,IF($B$2*(1+$E$2)&lt;$R$2,$B$2*(1-L$25)+$B$2*$E$2*(1-L$25)+$L$2*$Y$45*(L$25-$H44),$R$2*(1-L$25)+$L$2*$Z$45*(L$25-$H44)),IF($F$30*(1-$O$2)&gt;$P$2,$F$30*(1-$O$2)-$P$2,0))</f>
        <v>0</v>
      </c>
      <c r="M44" s="114">
        <f>IF($F$30&gt;$D$9,IF($B$2*(1+$E$2)&lt;$R$2,$B$2*(1-M$25)+$B$2*$E$2*(1-M$25)+$L$2*$Y$47*(M$25-$H44),$R$2*(1-M$25)+$L$2*$Z$47*(M$25-$H44)),IF($F$30*(1-$O$2)&gt;$P$2,$F$30*(1-$O$2)-$P$2,0))</f>
        <v>21.560860712589964</v>
      </c>
      <c r="N44" s="113">
        <f t="shared" si="15"/>
        <v>20.867555306099245</v>
      </c>
      <c r="O44" s="113">
        <f t="shared" si="16"/>
        <v>8.9930328551079608</v>
      </c>
      <c r="P44" s="124" t="s">
        <v>34</v>
      </c>
      <c r="Q44" s="129">
        <f t="shared" ref="Q44:W44" si="18">MAX($F$30-$P$2+$A$2*$D$2*$C$2-$R$2*(1-Q$42),0)</f>
        <v>0</v>
      </c>
      <c r="R44" s="129">
        <f t="shared" si="18"/>
        <v>0</v>
      </c>
      <c r="S44" s="129">
        <f t="shared" si="18"/>
        <v>0</v>
      </c>
      <c r="T44" s="129">
        <f t="shared" si="18"/>
        <v>0</v>
      </c>
      <c r="U44" s="129">
        <f t="shared" si="18"/>
        <v>1.2825821377699071</v>
      </c>
      <c r="V44" s="129">
        <f t="shared" si="18"/>
        <v>2.3425821377699094</v>
      </c>
      <c r="W44" s="129">
        <f t="shared" si="18"/>
        <v>22.482582137769903</v>
      </c>
      <c r="X44" s="123">
        <v>0.2</v>
      </c>
      <c r="Y44" s="126">
        <f>R43/(1+$L$2*X44)</f>
        <v>0</v>
      </c>
      <c r="Z44" s="127">
        <f>R$44/(1+$L$2*X44)</f>
        <v>0</v>
      </c>
      <c r="AA44" s="125">
        <f>R$45/(1+$L$2*X44)</f>
        <v>18.735485114808252</v>
      </c>
      <c r="AB44" s="59" t="s">
        <v>42</v>
      </c>
      <c r="AC44" s="59">
        <f t="shared" si="14"/>
        <v>108</v>
      </c>
      <c r="AD44" s="59">
        <f t="shared" si="14"/>
        <v>108</v>
      </c>
      <c r="AE44" s="59">
        <f t="shared" si="14"/>
        <v>108</v>
      </c>
      <c r="AF44" s="59">
        <f t="shared" si="14"/>
        <v>108</v>
      </c>
      <c r="AG44" s="59">
        <f t="shared" si="14"/>
        <v>108</v>
      </c>
      <c r="AH44" s="59">
        <f t="shared" si="14"/>
        <v>108</v>
      </c>
      <c r="AI44" s="59">
        <f t="shared" si="14"/>
        <v>108</v>
      </c>
      <c r="AJ44" s="20"/>
      <c r="AK44" s="20"/>
      <c r="AL44" s="20"/>
      <c r="AM44" s="20"/>
    </row>
    <row r="45" spans="1:41" x14ac:dyDescent="0.25">
      <c r="A45" s="20"/>
      <c r="B45" s="20"/>
      <c r="C45" s="20"/>
      <c r="D45" s="20"/>
      <c r="E45" s="20"/>
      <c r="F45" s="20"/>
      <c r="G45" s="20"/>
      <c r="H45" s="123">
        <v>0.4</v>
      </c>
      <c r="I45" s="128"/>
      <c r="J45" s="128"/>
      <c r="K45" s="113">
        <f>IF($F$30&gt;$D$7,IF($B$2*(1+$E$2)&lt;$R$2,$B$2*(1-K$25)+$B$2*$E$2*(1-K$25)+$L$2*$Y$44*(K$25-$H45),$R$2*(1-K$25)+$L$2*$Z$44*(K$25-$H45)),IF($F$30*(1-$O$2)&gt;$P$2,$F$30*(1-$O$2)-$P$2,0))</f>
        <v>0</v>
      </c>
      <c r="L45" s="113">
        <f>IF($F$30&gt;$D$8,IF($B$2*(1+$E$2)&lt;$R$2,$B$2*(1-L$25)+$B$2*$E$2*(1-L$25)+$L$2*$Y$45*(L$25-$H45),$R$2*(1-L$25)+$L$2*$Z$45*(L$25-$H45)),IF($F$30*(1-$O$2)&gt;$P$2,$F$30*(1-$O$2)-$P$2,0))</f>
        <v>0</v>
      </c>
      <c r="M45" s="114">
        <f>IF($F$30&gt;$D$9,IF($B$2*(1+$E$2)&lt;$R$2,$B$2*(1-M$25)+$B$2*$E$2*(1-M$25)+$L$2*$Y$47*(M$25-$H45),$R$2*(1-M$25)+$L$2*$Z$47*(M$25-$H45)),IF($F$30*(1-$O$2)&gt;$P$2,$F$30*(1-$O$2)-$P$2,0))</f>
        <v>21.373907141726644</v>
      </c>
      <c r="N45" s="113">
        <f t="shared" si="15"/>
        <v>20.566717500820801</v>
      </c>
      <c r="O45" s="113">
        <f t="shared" si="16"/>
        <v>6.744774641330971</v>
      </c>
      <c r="P45" s="124" t="s">
        <v>35</v>
      </c>
      <c r="Q45" s="129">
        <f t="shared" ref="Q45:W45" si="19">MAX($F$30-$P$2+$A$2*$D$2*$C$2,0)</f>
        <v>22.482582137769903</v>
      </c>
      <c r="R45" s="129">
        <f t="shared" si="19"/>
        <v>22.482582137769903</v>
      </c>
      <c r="S45" s="129">
        <f t="shared" si="19"/>
        <v>22.482582137769903</v>
      </c>
      <c r="T45" s="129">
        <f t="shared" si="19"/>
        <v>22.482582137769903</v>
      </c>
      <c r="U45" s="129">
        <f t="shared" si="19"/>
        <v>22.482582137769903</v>
      </c>
      <c r="V45" s="129">
        <f t="shared" si="19"/>
        <v>22.482582137769903</v>
      </c>
      <c r="W45" s="129">
        <f t="shared" si="19"/>
        <v>22.482582137769903</v>
      </c>
      <c r="X45" s="123">
        <v>0.4</v>
      </c>
      <c r="Y45" s="126">
        <f>S43/(1+$L$2*X45)</f>
        <v>0</v>
      </c>
      <c r="Z45" s="127">
        <f>S$44/(1+$L$2*X45)</f>
        <v>0</v>
      </c>
      <c r="AA45" s="125">
        <f>S$45/(1+$L$2*X45)</f>
        <v>16.058987241264216</v>
      </c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  <row r="46" spans="1:41" x14ac:dyDescent="0.25">
      <c r="A46" s="20"/>
      <c r="B46" s="20"/>
      <c r="C46" s="20"/>
      <c r="D46" s="20"/>
      <c r="E46" s="20"/>
      <c r="F46" s="20"/>
      <c r="G46" s="20"/>
      <c r="H46" s="123">
        <v>0.6</v>
      </c>
      <c r="I46" s="107"/>
      <c r="J46" s="107"/>
      <c r="K46" s="107"/>
      <c r="L46" s="113">
        <f>IF($F$30&gt;$D$8,IF($B$2*(1+$E$2)&lt;$R$2,$B$2*(1-L$25)+$B$2*$E$2*(1-L$25)+$L$2*$Y$45*(L$25-$H46),$R$2*(1-L$25)+$L$2*$Z$45*(L$25-$H46)),IF($F$30*(1-$O$2)&gt;$P$2,$F$30*(1-$O$2)-$P$2,0))</f>
        <v>0</v>
      </c>
      <c r="M46" s="114">
        <f>IF($F$30&gt;$D$9,IF($B$2*(1+$E$2)&lt;$R$2,$B$2*(1-M$25)+$B$2*$E$2*(1-M$25)+$L$2*$Y$47*(M$25-$H46),$R$2*(1-M$25)+$L$2*$Z$47*(M$25-$H46)),IF($F$30*(1-$O$2)&gt;$P$2,$F$30*(1-$O$2)-$P$2,0))</f>
        <v>21.18695357086332</v>
      </c>
      <c r="N46" s="113">
        <f t="shared" si="15"/>
        <v>20.265879695542356</v>
      </c>
      <c r="O46" s="113">
        <f t="shared" si="16"/>
        <v>4.4965164275539804</v>
      </c>
      <c r="P46" s="123"/>
      <c r="Q46" s="130"/>
      <c r="R46" s="130"/>
      <c r="S46" s="130"/>
      <c r="T46" s="130"/>
      <c r="U46" s="130"/>
      <c r="V46" s="130"/>
      <c r="W46" s="130"/>
      <c r="X46" s="123">
        <v>0.6</v>
      </c>
      <c r="Y46" s="126">
        <f>T43/(1+$L$2*X46)</f>
        <v>0</v>
      </c>
      <c r="Z46" s="127">
        <f>T$44/(1+$L$2*X46)</f>
        <v>0</v>
      </c>
      <c r="AA46" s="125">
        <f>T$45/(1+$L$2*X46)</f>
        <v>14.051613836106188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1:41" x14ac:dyDescent="0.25">
      <c r="A47" s="20"/>
      <c r="B47" s="20"/>
      <c r="C47" s="20"/>
      <c r="D47" s="20"/>
      <c r="E47" s="20"/>
      <c r="F47" s="20"/>
      <c r="G47" s="20"/>
      <c r="H47" s="123">
        <v>0.8</v>
      </c>
      <c r="I47" s="107"/>
      <c r="J47" s="107"/>
      <c r="K47" s="107"/>
      <c r="L47" s="107"/>
      <c r="M47" s="114">
        <f>IF($F$30&gt;$D$9,IF($B$2*(1+$E$2)&lt;$R$2,$B$2*(1-M$25)+$B$2*$E$2*(1-M$25)+$L$2*$Y$47*(M$25-$H47),$R$2*(1-M$25)+$L$2*$Z$47*(M$25-$H47)),IF($F$30*(1-$O$2)&gt;$P$2,$F$30*(1-$O$2)-$P$2,0))</f>
        <v>20.999999999999996</v>
      </c>
      <c r="N47" s="113">
        <f t="shared" si="15"/>
        <v>19.965041890263915</v>
      </c>
      <c r="O47" s="113">
        <f t="shared" si="16"/>
        <v>2.2482582137769898</v>
      </c>
      <c r="P47" s="123"/>
      <c r="Q47" s="129"/>
      <c r="R47" s="130"/>
      <c r="S47" s="130"/>
      <c r="T47" s="130"/>
      <c r="U47" s="130"/>
      <c r="V47" s="130"/>
      <c r="W47" s="130"/>
      <c r="X47" s="123">
        <v>0.8</v>
      </c>
      <c r="Y47" s="126">
        <f>U43/(1+$L$2*X47)</f>
        <v>0.9347678543166148</v>
      </c>
      <c r="Z47" s="127">
        <f>U$44/(1+$L$2*X47)</f>
        <v>0.71254563209439281</v>
      </c>
      <c r="AA47" s="125">
        <f>U$45/(1+$L$2*X47)</f>
        <v>12.490323409872168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1:41" x14ac:dyDescent="0.25">
      <c r="A48" s="20"/>
      <c r="B48" s="20"/>
      <c r="C48" s="20"/>
      <c r="D48" s="20"/>
      <c r="E48" s="20"/>
      <c r="F48" s="20"/>
      <c r="G48" s="20"/>
      <c r="H48" s="123">
        <v>0.81</v>
      </c>
      <c r="I48" s="107"/>
      <c r="J48" s="107"/>
      <c r="K48" s="107"/>
      <c r="L48" s="107"/>
      <c r="M48" s="113"/>
      <c r="N48" s="114">
        <f t="shared" si="15"/>
        <v>19.949999999999992</v>
      </c>
      <c r="O48" s="113">
        <f t="shared" si="16"/>
        <v>2.1358453030881401</v>
      </c>
      <c r="P48" s="123"/>
      <c r="Q48" s="130"/>
      <c r="R48" s="130"/>
      <c r="S48" s="130"/>
      <c r="T48" s="130"/>
      <c r="U48" s="130"/>
      <c r="V48" s="130"/>
      <c r="W48" s="130"/>
      <c r="X48" s="123">
        <v>0.81</v>
      </c>
      <c r="Y48" s="126">
        <f>V43/(1+$L$2*X48)</f>
        <v>1.5041890263922155</v>
      </c>
      <c r="Z48" s="127">
        <f>V44/(1+$L$2*X48)</f>
        <v>1.2942442750109997</v>
      </c>
      <c r="AA48" s="125">
        <f>V45/(1+$L$2*X48)</f>
        <v>12.421316098215415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1:39" x14ac:dyDescent="0.25">
      <c r="A49" s="20"/>
      <c r="B49" s="20"/>
      <c r="C49" s="20"/>
      <c r="D49" s="20"/>
      <c r="E49" s="20"/>
      <c r="F49" s="20"/>
      <c r="G49" s="20"/>
      <c r="H49" s="123">
        <v>1</v>
      </c>
      <c r="I49" s="107"/>
      <c r="J49" s="107"/>
      <c r="K49" s="107"/>
      <c r="L49" s="107"/>
      <c r="M49" s="107"/>
      <c r="N49" s="107"/>
      <c r="O49" s="113">
        <f t="shared" si="16"/>
        <v>0</v>
      </c>
      <c r="P49" s="20"/>
      <c r="Q49" s="76"/>
      <c r="R49" s="20"/>
      <c r="S49" s="20"/>
      <c r="T49" s="20"/>
      <c r="U49" s="20"/>
      <c r="V49" s="20"/>
      <c r="W49" s="20"/>
      <c r="X49" s="123">
        <v>1</v>
      </c>
      <c r="Y49" s="126">
        <f>W43/(1+$L$2*X49)</f>
        <v>11.241291068884951</v>
      </c>
      <c r="Z49" s="127">
        <f>W$44/(1+$L$2*X49)</f>
        <v>11.241291068884951</v>
      </c>
      <c r="AA49" s="125">
        <f>W$45/(1+$L$2*X49)</f>
        <v>11.241291068884951</v>
      </c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</row>
    <row r="50" spans="1:39" x14ac:dyDescent="0.25">
      <c r="A50" s="20"/>
      <c r="B50" s="20"/>
      <c r="C50" s="20"/>
      <c r="D50" s="20"/>
      <c r="E50" s="20"/>
      <c r="F50" s="20"/>
      <c r="G50" s="20"/>
      <c r="H50" s="96" t="s">
        <v>20</v>
      </c>
      <c r="I50" s="96"/>
      <c r="J50" s="96"/>
      <c r="K50" s="96"/>
      <c r="L50" s="96"/>
      <c r="M50" s="96"/>
      <c r="N50" s="96"/>
      <c r="O50" s="20"/>
      <c r="P50" s="20"/>
      <c r="Q50" s="20"/>
      <c r="R50" s="20"/>
      <c r="S50" s="20"/>
      <c r="T50" s="20"/>
      <c r="U50" s="113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</row>
    <row r="51" spans="1:39" x14ac:dyDescent="0.25">
      <c r="A51" s="20"/>
      <c r="B51" s="20"/>
      <c r="C51" s="20"/>
      <c r="D51" s="20"/>
      <c r="E51" s="20"/>
      <c r="F51" s="20"/>
      <c r="G51" s="20"/>
      <c r="H51" s="96"/>
      <c r="I51" s="96"/>
      <c r="J51" s="96"/>
      <c r="K51" s="96"/>
      <c r="L51" s="96"/>
      <c r="M51" s="96"/>
      <c r="N51" s="96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1:39" x14ac:dyDescent="0.25">
      <c r="A52" s="20"/>
      <c r="B52" s="20"/>
      <c r="C52" s="20"/>
      <c r="D52" s="20"/>
      <c r="E52" s="20"/>
      <c r="F52" s="20"/>
      <c r="G52" s="20"/>
      <c r="H52" s="131"/>
      <c r="I52" s="96"/>
      <c r="J52" s="96"/>
      <c r="K52" s="96"/>
      <c r="L52" s="96"/>
      <c r="M52" s="96"/>
      <c r="N52" s="96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1:39" x14ac:dyDescent="0.25">
      <c r="A53" s="20"/>
      <c r="B53" s="20"/>
      <c r="C53" s="20"/>
      <c r="D53" s="20"/>
      <c r="E53" s="20"/>
      <c r="F53" s="20"/>
      <c r="G53" s="20"/>
      <c r="H53" s="96" t="s">
        <v>13</v>
      </c>
      <c r="I53" s="132">
        <v>0</v>
      </c>
      <c r="J53" s="132">
        <v>0.2</v>
      </c>
      <c r="K53" s="132">
        <v>0.4</v>
      </c>
      <c r="L53" s="132">
        <v>0.6</v>
      </c>
      <c r="M53" s="132">
        <v>0.8</v>
      </c>
      <c r="N53" s="132">
        <v>1</v>
      </c>
      <c r="O53" s="96" t="s">
        <v>21</v>
      </c>
      <c r="P53" s="132">
        <v>0</v>
      </c>
      <c r="Q53" s="132">
        <v>0.2</v>
      </c>
      <c r="R53" s="132">
        <v>0.4</v>
      </c>
      <c r="S53" s="132">
        <v>0.6</v>
      </c>
      <c r="T53" s="132">
        <v>0.8</v>
      </c>
      <c r="U53" s="132">
        <v>1</v>
      </c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1:39" x14ac:dyDescent="0.25">
      <c r="A54" s="20"/>
      <c r="B54" s="20"/>
      <c r="C54" s="20"/>
      <c r="D54" s="20"/>
      <c r="E54" s="20"/>
      <c r="F54" s="20"/>
      <c r="G54" s="20"/>
      <c r="H54" s="96"/>
      <c r="I54" s="96">
        <f>($J$2*AF17+$K$2*AA8)*EXP(-$M$2*$N$2)</f>
        <v>114.64948541552167</v>
      </c>
      <c r="J54" s="96">
        <f>($J$2*AF18+$K$2*AB9)*EXP(-$M$2*$N$2)</f>
        <v>92.919850763976768</v>
      </c>
      <c r="K54" s="96">
        <f>($J$2*AF19+$K$2*AC10)*EXP(-$M$2*$N$2)</f>
        <v>71.190216112431813</v>
      </c>
      <c r="L54" s="96">
        <f>($J$2*AF20+$K$2*AD11)*EXP(-$M$2*$N$2)</f>
        <v>49.4605814608869</v>
      </c>
      <c r="M54" s="96">
        <f>($J$2*AF21+$K$2*AE12)*EXP(-$M$2*$N$2)</f>
        <v>27.730946809341965</v>
      </c>
      <c r="N54" s="96">
        <f>($J$2*AF22+$K$2*AF13)*EXP(-$M$2*$N$2)+$B$2*(1-N53)*$E$2</f>
        <v>0</v>
      </c>
      <c r="O54" s="96" t="s">
        <v>41</v>
      </c>
      <c r="P54" s="133">
        <f>(X22*(1+$L$2*P53)*$J$2+W8*(1+$L$2*P53)*$K$2)*EXP(-$M$2*$N$2)+A26</f>
        <v>102.54953235846236</v>
      </c>
      <c r="Q54" s="96">
        <f>(X22*(1+$L$2*Q53)*$J$2+W9*(1+$L$2*Q53)*$K$2)*EXP(-$M$2*$N$2)+A26</f>
        <v>124.17177170946096</v>
      </c>
      <c r="R54" s="96">
        <f>(X22*(1+$L$2*R53)*$J$2+W10*(1+$L$2*R53)*$K$2)*EXP(-$M$2*$N$2)+A26</f>
        <v>145.79401106045952</v>
      </c>
      <c r="S54" s="96">
        <f>(X22*(1+$L$2*S53)*$J$2+W11*(1+$L$2*S53)*$K$2)*EXP(-$M$2*$N$2)+A26</f>
        <v>167.41625041145818</v>
      </c>
      <c r="T54" s="96">
        <f>(X22*(1+$L$2*T53)*$J$2+W12*(1+$L$2*T53)*$K$2)*EXP(-$M$2*$N$2)+A26</f>
        <v>189.03848976245681</v>
      </c>
      <c r="U54" s="96">
        <f>(X22*(1+$L$2*U53)*$J$2+W13*(1+$L$2*U53)*$K$2)*EXP(-$M$2*$N$2)+A26</f>
        <v>216.60437251835523</v>
      </c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1:39" x14ac:dyDescent="0.25">
      <c r="A55" s="20"/>
      <c r="B55" s="20"/>
      <c r="C55" s="20"/>
      <c r="D55" s="20"/>
      <c r="E55" s="20"/>
      <c r="F55" s="20"/>
      <c r="G55" s="20"/>
      <c r="H55" s="96"/>
      <c r="I55" s="132"/>
      <c r="J55" s="132"/>
      <c r="K55" s="132"/>
      <c r="L55" s="132"/>
      <c r="M55" s="132"/>
      <c r="N55" s="132"/>
      <c r="O55" s="96" t="s">
        <v>40</v>
      </c>
      <c r="P55" s="96">
        <f>(Y17*(1+$L$2*P53)*$J$2+Y8*(1+$L$2*P53)*$K$2)*EXP(-$M$2*$N$2)+A26-$R$2*(1-P53)</f>
        <v>110.60437251835523</v>
      </c>
      <c r="Q55" s="96">
        <f>(Y18*(1+$L$2*Q53)*$J$2+Y9*(1+$L$2*Q53)*$K$2)*EXP(-$M$2*$N$2)+A26-$R$2*(1-Q53)</f>
        <v>131.80437251835522</v>
      </c>
      <c r="R55" s="96">
        <f>(Y19*(1+$L$2*R53)*$J$2+Y10*(1+$L$2*R53)*$K$2)*EXP(-$M$2*$N$2)+A26-$R$2*(1-R53)</f>
        <v>153.00437251835524</v>
      </c>
      <c r="S55" s="96">
        <f>(Y20*(1+$L$2*S53)*$J$2+Y11*(1+$L$2*S53)*$K$2)*EXP(-$M$2*$N$2)+A26-$R$2*(1-S53)</f>
        <v>174.20437251835523</v>
      </c>
      <c r="T55" s="96">
        <f>(Y21*(1+$L$2*T53)*$J$2+Y12*(1+$L$2*T53)*$K$2)*EXP(-$M$2*$N$2)+A26-$R$2*(1-T53)</f>
        <v>195.40437251835525</v>
      </c>
      <c r="U55" s="96">
        <f>(Y22*(1+$L$2*U53)*$J$2+Y13*(1+$L$2*U53)*$K$2)*EXP(-$M$2*$N$2)+A26-$R$2*(1-U53)</f>
        <v>216.60437251835523</v>
      </c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1:39" x14ac:dyDescent="0.25">
      <c r="A56" s="20"/>
      <c r="B56" s="20"/>
      <c r="C56" s="20"/>
      <c r="D56" s="20"/>
      <c r="E56" s="20"/>
      <c r="F56" s="20"/>
      <c r="G56" s="20"/>
      <c r="H56" s="96"/>
      <c r="I56" s="96"/>
      <c r="J56" s="96"/>
      <c r="K56" s="96"/>
      <c r="L56" s="96"/>
      <c r="M56" s="96"/>
      <c r="N56" s="96"/>
      <c r="O56" s="96" t="s">
        <v>22</v>
      </c>
      <c r="P56" s="132">
        <v>0</v>
      </c>
      <c r="Q56" s="132">
        <v>0.2</v>
      </c>
      <c r="R56" s="132">
        <v>0.4</v>
      </c>
      <c r="S56" s="132">
        <v>0.6</v>
      </c>
      <c r="T56" s="132">
        <v>0.8</v>
      </c>
      <c r="U56" s="132">
        <v>1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1:39" x14ac:dyDescent="0.25">
      <c r="A57" s="20"/>
      <c r="B57" s="20"/>
      <c r="C57" s="20"/>
      <c r="D57" s="20"/>
      <c r="E57" s="20"/>
      <c r="F57" s="20"/>
      <c r="G57" s="20"/>
      <c r="H57" s="96"/>
      <c r="I57" s="132"/>
      <c r="J57" s="132"/>
      <c r="K57" s="132"/>
      <c r="L57" s="132"/>
      <c r="M57" s="132"/>
      <c r="N57" s="132"/>
      <c r="O57" s="96" t="s">
        <v>41</v>
      </c>
      <c r="P57" s="133">
        <f t="shared" ref="P57:U57" si="20">P54/(1+P56*$L$2)</f>
        <v>102.54953235846236</v>
      </c>
      <c r="Q57" s="96">
        <f t="shared" si="20"/>
        <v>103.4764764245508</v>
      </c>
      <c r="R57" s="96">
        <f t="shared" si="20"/>
        <v>104.13857932889967</v>
      </c>
      <c r="S57" s="96">
        <f t="shared" si="20"/>
        <v>104.63515650716135</v>
      </c>
      <c r="T57" s="96">
        <f t="shared" si="20"/>
        <v>105.02138320136488</v>
      </c>
      <c r="U57" s="96">
        <f t="shared" si="20"/>
        <v>108.30218625917762</v>
      </c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1:39" x14ac:dyDescent="0.25">
      <c r="A58" s="20"/>
      <c r="B58" s="20"/>
      <c r="C58" s="20"/>
      <c r="D58" s="20"/>
      <c r="E58" s="20"/>
      <c r="F58" s="20"/>
      <c r="G58" s="20"/>
      <c r="H58" s="96"/>
      <c r="I58" s="96"/>
      <c r="J58" s="96"/>
      <c r="K58" s="96"/>
      <c r="L58" s="96"/>
      <c r="M58" s="96"/>
      <c r="N58" s="96"/>
      <c r="O58" s="96" t="s">
        <v>40</v>
      </c>
      <c r="P58" s="96">
        <f t="shared" ref="P58:U58" si="21">P55/(1+P56*$L$2)</f>
        <v>110.60437251835523</v>
      </c>
      <c r="Q58" s="96">
        <f t="shared" si="21"/>
        <v>109.83697709862936</v>
      </c>
      <c r="R58" s="96">
        <f t="shared" si="21"/>
        <v>109.28883751311089</v>
      </c>
      <c r="S58" s="96">
        <f t="shared" si="21"/>
        <v>108.87773282397201</v>
      </c>
      <c r="T58" s="96">
        <f t="shared" si="21"/>
        <v>108.55798473241958</v>
      </c>
      <c r="U58" s="96">
        <f t="shared" si="21"/>
        <v>108.30218625917762</v>
      </c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1:39" x14ac:dyDescent="0.25">
      <c r="A59" s="20"/>
      <c r="B59" s="20"/>
      <c r="C59" s="20"/>
      <c r="D59" s="20"/>
      <c r="E59" s="20"/>
      <c r="F59" s="20"/>
      <c r="G59" s="20"/>
      <c r="H59" s="96" t="s">
        <v>19</v>
      </c>
      <c r="I59" s="132">
        <v>0</v>
      </c>
      <c r="J59" s="132">
        <v>0.2</v>
      </c>
      <c r="K59" s="132">
        <v>0.4</v>
      </c>
      <c r="L59" s="132">
        <v>0.6</v>
      </c>
      <c r="M59" s="132">
        <v>0.8</v>
      </c>
      <c r="N59" s="132">
        <v>1</v>
      </c>
      <c r="O59" s="111" t="s">
        <v>43</v>
      </c>
      <c r="P59" s="112">
        <v>0</v>
      </c>
      <c r="Q59" s="112">
        <v>0.2</v>
      </c>
      <c r="R59" s="112">
        <v>0.4</v>
      </c>
      <c r="S59" s="112">
        <v>0.6</v>
      </c>
      <c r="T59" s="112">
        <v>0.8</v>
      </c>
      <c r="U59" s="112">
        <v>1</v>
      </c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1:39" x14ac:dyDescent="0.25">
      <c r="A60" s="20"/>
      <c r="B60" s="20"/>
      <c r="C60" s="20"/>
      <c r="D60" s="20"/>
      <c r="E60" s="20"/>
      <c r="F60" s="20"/>
      <c r="G60" s="20"/>
      <c r="H60" s="96"/>
      <c r="I60" s="99">
        <f>IF(P55&gt;0,I61+I59*$L$2*P58,IF((1-$O$2)*$A$16-$Q$2&gt;0,(1-$O$2)*$A$16-$Q$2,0))</f>
        <v>106</v>
      </c>
      <c r="J60" s="100">
        <f t="shared" ref="J60:N60" si="22">IF(Q55&gt;0,J61+J59*$L$2*Q58,IF((1-$O$2)*$A$16-$Q$2&gt;0,(1-$O$2)*$A$16-$Q$2,0))</f>
        <v>106.76739541972589</v>
      </c>
      <c r="K60" s="100">
        <f t="shared" si="22"/>
        <v>107.31553500524436</v>
      </c>
      <c r="L60" s="100">
        <f t="shared" si="22"/>
        <v>107.72663969438321</v>
      </c>
      <c r="M60" s="100">
        <f t="shared" si="22"/>
        <v>108.04638778593568</v>
      </c>
      <c r="N60" s="101">
        <f t="shared" si="22"/>
        <v>108.30218625917762</v>
      </c>
      <c r="O60" s="111" t="s">
        <v>45</v>
      </c>
      <c r="P60" s="134">
        <f t="shared" ref="P60:U60" si="23">(AH19*$J$2+AH10*$K$2)*EXP(-$M$2*$N$2)</f>
        <v>103.321523434127</v>
      </c>
      <c r="Q60" s="111">
        <f t="shared" si="23"/>
        <v>103.321523434127</v>
      </c>
      <c r="R60" s="111">
        <f t="shared" si="23"/>
        <v>103.321523434127</v>
      </c>
      <c r="S60" s="111">
        <f t="shared" si="23"/>
        <v>103.321523434127</v>
      </c>
      <c r="T60" s="111">
        <f t="shared" si="23"/>
        <v>103.321523434127</v>
      </c>
      <c r="U60" s="111">
        <f t="shared" si="23"/>
        <v>103.321523434127</v>
      </c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1:39" x14ac:dyDescent="0.25">
      <c r="A61" s="20"/>
      <c r="B61" s="20"/>
      <c r="C61" s="20"/>
      <c r="D61" s="20"/>
      <c r="E61" s="20"/>
      <c r="F61" s="20"/>
      <c r="G61" s="20"/>
      <c r="H61" s="20" t="s">
        <v>39</v>
      </c>
      <c r="I61" s="20">
        <f>$R$2*(1-I59)</f>
        <v>106</v>
      </c>
      <c r="J61" s="20">
        <f t="shared" ref="J61:N61" si="24">$R$2*(1-J59)</f>
        <v>84.800000000000011</v>
      </c>
      <c r="K61" s="20">
        <f t="shared" si="24"/>
        <v>63.599999999999994</v>
      </c>
      <c r="L61" s="20">
        <f t="shared" si="24"/>
        <v>42.400000000000006</v>
      </c>
      <c r="M61" s="20">
        <f t="shared" si="24"/>
        <v>21.199999999999996</v>
      </c>
      <c r="N61" s="20">
        <f t="shared" si="24"/>
        <v>0</v>
      </c>
      <c r="O61" s="111" t="s">
        <v>44</v>
      </c>
      <c r="P61" s="135" t="s">
        <v>38</v>
      </c>
      <c r="Q61" s="136"/>
      <c r="R61" s="136"/>
      <c r="S61" s="136"/>
      <c r="T61" s="136"/>
      <c r="U61" s="137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</sheetData>
  <mergeCells count="3">
    <mergeCell ref="A3:D3"/>
    <mergeCell ref="AH17:AM17"/>
    <mergeCell ref="AH9:AM9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>
      <selection activeCell="L3" sqref="L3"/>
    </sheetView>
  </sheetViews>
  <sheetFormatPr defaultRowHeight="16.5" x14ac:dyDescent="0.25"/>
  <cols>
    <col min="1" max="1" width="11.625" bestFit="1" customWidth="1"/>
  </cols>
  <sheetData>
    <row r="1" spans="1:23" x14ac:dyDescent="0.25">
      <c r="A1" t="s">
        <v>47</v>
      </c>
      <c r="B1" s="56">
        <v>0.8</v>
      </c>
      <c r="C1" s="57">
        <v>0.80100000000000005</v>
      </c>
      <c r="D1" s="57">
        <v>0.80200000000000005</v>
      </c>
      <c r="E1" s="57">
        <v>0.80200000000000005</v>
      </c>
      <c r="F1" s="57">
        <v>0.80300000000000005</v>
      </c>
      <c r="G1" s="57">
        <v>0.80400000000000005</v>
      </c>
      <c r="H1" s="57">
        <v>0.80500000000000005</v>
      </c>
      <c r="I1" s="57">
        <v>0.80600000000000005</v>
      </c>
      <c r="J1" s="57">
        <v>0.80700000000000005</v>
      </c>
      <c r="K1" s="57">
        <v>0.80800000000000005</v>
      </c>
      <c r="L1" s="57">
        <v>0.80900000000000005</v>
      </c>
      <c r="M1" s="57">
        <v>0.81</v>
      </c>
      <c r="N1" s="57">
        <v>0.82</v>
      </c>
      <c r="O1" s="57">
        <v>0.83</v>
      </c>
      <c r="P1" s="57">
        <v>0.84</v>
      </c>
      <c r="Q1" s="57">
        <v>0.85</v>
      </c>
      <c r="R1" s="57">
        <v>0.86</v>
      </c>
      <c r="S1" s="57">
        <v>0.87</v>
      </c>
      <c r="T1" s="57">
        <v>0.88</v>
      </c>
      <c r="U1" s="57">
        <v>0.89</v>
      </c>
      <c r="V1" s="57">
        <v>0.9</v>
      </c>
      <c r="W1" s="57">
        <v>1</v>
      </c>
    </row>
    <row r="2" spans="1:23" x14ac:dyDescent="0.25">
      <c r="A2" s="3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20.084755468903758</v>
      </c>
      <c r="M2">
        <v>20.026317226116404</v>
      </c>
      <c r="N2">
        <v>19.445406340389347</v>
      </c>
      <c r="O2">
        <v>18.870734917894275</v>
      </c>
      <c r="P2">
        <v>18.302201228252407</v>
      </c>
      <c r="Q2">
        <v>17.739705740660725</v>
      </c>
      <c r="R2">
        <v>17.183151064763575</v>
      </c>
      <c r="S2">
        <v>16.632441893421475</v>
      </c>
      <c r="T2">
        <v>16.087484947306418</v>
      </c>
      <c r="U2">
        <v>15.548188921256072</v>
      </c>
      <c r="V2">
        <v>15.014464432322045</v>
      </c>
      <c r="W2">
        <v>9.9652680118954926</v>
      </c>
    </row>
    <row r="3" spans="1:23" x14ac:dyDescent="0.25">
      <c r="A3" s="3">
        <v>0.2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20.077399357926314</v>
      </c>
      <c r="M3">
        <v>20.007473466581487</v>
      </c>
      <c r="N3">
        <v>19.312380403709017</v>
      </c>
      <c r="O3">
        <v>18.624774696714933</v>
      </c>
      <c r="P3">
        <v>17.944534269144693</v>
      </c>
      <c r="Q3">
        <v>17.271539684034671</v>
      </c>
      <c r="R3">
        <v>16.605674072958092</v>
      </c>
      <c r="S3">
        <v>15.946823067347573</v>
      </c>
      <c r="T3">
        <v>15.294874732009504</v>
      </c>
      <c r="U3">
        <v>14.649719500749089</v>
      </c>
      <c r="V3">
        <v>14.011250114028257</v>
      </c>
      <c r="W3">
        <v>7.9722144095163943</v>
      </c>
    </row>
  </sheetData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old無Call-310無部份轉換</vt:lpstr>
      <vt:lpstr>new無Call-310部分轉換</vt:lpstr>
      <vt:lpstr>old有Call-317部分轉換</vt:lpstr>
      <vt:lpstr>new有Call-317無部份轉換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L.W.Huang</cp:lastModifiedBy>
  <dcterms:created xsi:type="dcterms:W3CDTF">2011-03-17T02:04:14Z</dcterms:created>
  <dcterms:modified xsi:type="dcterms:W3CDTF">2012-03-28T04:01:58Z</dcterms:modified>
</cp:coreProperties>
</file>